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U:\Solar Cooling as Building Product Hamza PhD\Chapter 4 - Towards Product Design and Development\14-February\6. Life-Cycle Cost (LCC) and Levelized Cost of Cooling (LCOC) Calculations\"/>
    </mc:Choice>
  </mc:AlternateContent>
  <xr:revisionPtr revIDLastSave="0" documentId="13_ncr:1_{61A40519-01F3-45E5-8B06-095F99890456}" xr6:coauthVersionLast="47" xr6:coauthVersionMax="47" xr10:uidLastSave="{00000000-0000-0000-0000-000000000000}"/>
  <bookViews>
    <workbookView xWindow="28680" yWindow="-120" windowWidth="29040" windowHeight="15840" tabRatio="735" activeTab="6" xr2:uid="{00000000-000D-0000-FFFF-FFFF00000000}"/>
  </bookViews>
  <sheets>
    <sheet name="ESOLinput (June to August)" sheetId="7" r:id="rId1"/>
    <sheet name="ESCOOLout" sheetId="5" r:id="rId2"/>
    <sheet name="Costs-Solar Collection Devices" sheetId="12" r:id="rId3"/>
    <sheet name="Costs- Chillers " sheetId="11" r:id="rId4"/>
    <sheet name="Total LCC(AW) &amp; LCOC for All " sheetId="14" r:id="rId5"/>
    <sheet name="Key results " sheetId="15" r:id="rId6"/>
    <sheet name="Summary Charts of Key Results" sheetId="16"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79" i="5" l="1"/>
  <c r="V77" i="5"/>
  <c r="V75" i="5"/>
  <c r="V73" i="5"/>
  <c r="V71" i="5"/>
  <c r="V69" i="5"/>
  <c r="V67" i="5"/>
  <c r="V65" i="5"/>
  <c r="V63" i="5"/>
  <c r="V61" i="5"/>
  <c r="V59" i="5"/>
  <c r="V57" i="5"/>
  <c r="V55" i="5"/>
  <c r="V53" i="5"/>
  <c r="V51" i="5"/>
  <c r="V47" i="5"/>
  <c r="V45" i="5"/>
  <c r="V43" i="5"/>
  <c r="V41" i="5"/>
  <c r="V39" i="5"/>
  <c r="V37" i="5"/>
  <c r="V35" i="5"/>
  <c r="V33" i="5"/>
  <c r="V31" i="5"/>
  <c r="V29" i="5"/>
  <c r="V27" i="5"/>
  <c r="V25" i="5"/>
  <c r="V23" i="5"/>
  <c r="V21" i="5"/>
  <c r="V19" i="5"/>
  <c r="V16" i="5"/>
  <c r="V15" i="5"/>
  <c r="V14" i="5"/>
  <c r="V13" i="5"/>
  <c r="V12" i="5"/>
  <c r="V10" i="5"/>
  <c r="V9" i="5"/>
  <c r="V8" i="5"/>
  <c r="V7" i="5"/>
  <c r="V6" i="5"/>
  <c r="R7" i="5"/>
  <c r="R8" i="5"/>
  <c r="R9" i="5"/>
  <c r="R10" i="5"/>
  <c r="R12" i="5"/>
  <c r="R13" i="5"/>
  <c r="R14" i="5"/>
  <c r="R15" i="5"/>
  <c r="R16" i="5"/>
  <c r="R19" i="5"/>
  <c r="R21" i="5"/>
  <c r="R23" i="5"/>
  <c r="R25" i="5"/>
  <c r="R27" i="5"/>
  <c r="R29" i="5"/>
  <c r="R31" i="5"/>
  <c r="R33" i="5"/>
  <c r="R35" i="5"/>
  <c r="R37" i="5"/>
  <c r="R39" i="5"/>
  <c r="R41" i="5"/>
  <c r="R43" i="5"/>
  <c r="R45" i="5"/>
  <c r="R47" i="5"/>
  <c r="R51" i="5"/>
  <c r="R53" i="5"/>
  <c r="R55" i="5"/>
  <c r="R57" i="5"/>
  <c r="R59" i="5"/>
  <c r="R61" i="5"/>
  <c r="R63" i="5"/>
  <c r="R65" i="5"/>
  <c r="R67" i="5"/>
  <c r="R69" i="5"/>
  <c r="R71" i="5"/>
  <c r="R73" i="5"/>
  <c r="R75" i="5"/>
  <c r="R77" i="5"/>
  <c r="R79" i="5"/>
  <c r="R6" i="5"/>
  <c r="AB7" i="12"/>
  <c r="AB8" i="12"/>
  <c r="AB9" i="12"/>
  <c r="AB10" i="12"/>
  <c r="AB12" i="12"/>
  <c r="AB13" i="12"/>
  <c r="AB14" i="12"/>
  <c r="AB15" i="12"/>
  <c r="AB16" i="12"/>
  <c r="AB19" i="12"/>
  <c r="AB21" i="12"/>
  <c r="AB23" i="12"/>
  <c r="AB25" i="12"/>
  <c r="AB27" i="12"/>
  <c r="AB29" i="12"/>
  <c r="AB31" i="12"/>
  <c r="AB33" i="12"/>
  <c r="AB35" i="12"/>
  <c r="AB37" i="12"/>
  <c r="AB39" i="12"/>
  <c r="AB41" i="12"/>
  <c r="AB43" i="12"/>
  <c r="AB45" i="12"/>
  <c r="AB47" i="12"/>
  <c r="AB51" i="12"/>
  <c r="AB53" i="12"/>
  <c r="AB55" i="12"/>
  <c r="AB57" i="12"/>
  <c r="AB59" i="12"/>
  <c r="AB61" i="12"/>
  <c r="AB63" i="12"/>
  <c r="AB65" i="12"/>
  <c r="AB67" i="12"/>
  <c r="AB69" i="12"/>
  <c r="AB71" i="12"/>
  <c r="AB73" i="12"/>
  <c r="AB75" i="12"/>
  <c r="AB77" i="12"/>
  <c r="AB79" i="12"/>
  <c r="AB6" i="12"/>
  <c r="AA7" i="12"/>
  <c r="AA8" i="12"/>
  <c r="AA9" i="12"/>
  <c r="AA10" i="12"/>
  <c r="AA12" i="12"/>
  <c r="AA13" i="12"/>
  <c r="AA14" i="12"/>
  <c r="AA15" i="12"/>
  <c r="AA16" i="12"/>
  <c r="AA19" i="12"/>
  <c r="AA21" i="12"/>
  <c r="AA23" i="12"/>
  <c r="AA25" i="12"/>
  <c r="AA27" i="12"/>
  <c r="AA29" i="12"/>
  <c r="AA31" i="12"/>
  <c r="AA33" i="12"/>
  <c r="AA35" i="12"/>
  <c r="AA37" i="12"/>
  <c r="AA39" i="12"/>
  <c r="AA41" i="12"/>
  <c r="AA43" i="12"/>
  <c r="AA45" i="12"/>
  <c r="AA47" i="12"/>
  <c r="AA51" i="12"/>
  <c r="AA53" i="12"/>
  <c r="AA55" i="12"/>
  <c r="AA57" i="12"/>
  <c r="AA59" i="12"/>
  <c r="AA61" i="12"/>
  <c r="AA63" i="12"/>
  <c r="AA65" i="12"/>
  <c r="AA67" i="12"/>
  <c r="AA69" i="12"/>
  <c r="AA71" i="12"/>
  <c r="AA73" i="12"/>
  <c r="AA75" i="12"/>
  <c r="AA77" i="12"/>
  <c r="AA79" i="12"/>
  <c r="AA6" i="12"/>
  <c r="Z7" i="12"/>
  <c r="Z8" i="12"/>
  <c r="Z9" i="12"/>
  <c r="Z10" i="12"/>
  <c r="Z12" i="12"/>
  <c r="Z13" i="12"/>
  <c r="Z14" i="12"/>
  <c r="Z15" i="12"/>
  <c r="Z16" i="12"/>
  <c r="Z19" i="12"/>
  <c r="Z21" i="12"/>
  <c r="Z23" i="12"/>
  <c r="Z25" i="12"/>
  <c r="Z27" i="12"/>
  <c r="Z29" i="12"/>
  <c r="Z31" i="12"/>
  <c r="Z33" i="12"/>
  <c r="Z35" i="12"/>
  <c r="Z37" i="12"/>
  <c r="Z39" i="12"/>
  <c r="Z41" i="12"/>
  <c r="Z43" i="12"/>
  <c r="Z45" i="12"/>
  <c r="Z47" i="12"/>
  <c r="Z51" i="12"/>
  <c r="Z53" i="12"/>
  <c r="Z55" i="12"/>
  <c r="Z57" i="12"/>
  <c r="Z59" i="12"/>
  <c r="Z61" i="12"/>
  <c r="Z63" i="12"/>
  <c r="Z65" i="12"/>
  <c r="Z67" i="12"/>
  <c r="Z69" i="12"/>
  <c r="Z71" i="12"/>
  <c r="Z73" i="12"/>
  <c r="Z75" i="12"/>
  <c r="Z77" i="12"/>
  <c r="Z79" i="12"/>
  <c r="Z6" i="12"/>
  <c r="Y7" i="12"/>
  <c r="Y8" i="12"/>
  <c r="Y9" i="12"/>
  <c r="Y10" i="12"/>
  <c r="Y12" i="12"/>
  <c r="Y13" i="12"/>
  <c r="Y14" i="12"/>
  <c r="Y15" i="12"/>
  <c r="Y16" i="12"/>
  <c r="Y19" i="12"/>
  <c r="Y21" i="12"/>
  <c r="Y23" i="12"/>
  <c r="Y25" i="12"/>
  <c r="Y27" i="12"/>
  <c r="Y29" i="12"/>
  <c r="Y31" i="12"/>
  <c r="Y33" i="12"/>
  <c r="Y35" i="12"/>
  <c r="Y37" i="12"/>
  <c r="Y39" i="12"/>
  <c r="Y41" i="12"/>
  <c r="Y43" i="12"/>
  <c r="Y45" i="12"/>
  <c r="Y47" i="12"/>
  <c r="Y51" i="12"/>
  <c r="Y53" i="12"/>
  <c r="Y55" i="12"/>
  <c r="Y57" i="12"/>
  <c r="Y59" i="12"/>
  <c r="Y61" i="12"/>
  <c r="Y63" i="12"/>
  <c r="Y65" i="12"/>
  <c r="Y67" i="12"/>
  <c r="Y69" i="12"/>
  <c r="Y71" i="12"/>
  <c r="Y73" i="12"/>
  <c r="Y75" i="12"/>
  <c r="Y77" i="12"/>
  <c r="Y79" i="12"/>
  <c r="Y6" i="12"/>
  <c r="M7" i="14"/>
  <c r="O7" i="14" s="1"/>
  <c r="M8" i="14"/>
  <c r="O8" i="14" s="1"/>
  <c r="M9" i="14"/>
  <c r="O9" i="14" s="1"/>
  <c r="M10" i="14"/>
  <c r="O10" i="14" s="1"/>
  <c r="M12" i="14"/>
  <c r="O12" i="14" s="1"/>
  <c r="M13" i="14"/>
  <c r="O13" i="14" s="1"/>
  <c r="M14" i="14"/>
  <c r="O14" i="14" s="1"/>
  <c r="M15" i="14"/>
  <c r="O15" i="14" s="1"/>
  <c r="M16" i="14"/>
  <c r="O16" i="14" s="1"/>
  <c r="M19" i="14"/>
  <c r="O19" i="14" s="1"/>
  <c r="M21" i="14"/>
  <c r="O21" i="14" s="1"/>
  <c r="M23" i="14"/>
  <c r="O23" i="14" s="1"/>
  <c r="M25" i="14"/>
  <c r="O25" i="14" s="1"/>
  <c r="M27" i="14"/>
  <c r="O27" i="14" s="1"/>
  <c r="M29" i="14"/>
  <c r="O29" i="14" s="1"/>
  <c r="M31" i="14"/>
  <c r="O31" i="14" s="1"/>
  <c r="M33" i="14"/>
  <c r="O33" i="14" s="1"/>
  <c r="M35" i="14"/>
  <c r="O35" i="14" s="1"/>
  <c r="M37" i="14"/>
  <c r="O37" i="14" s="1"/>
  <c r="M39" i="14"/>
  <c r="O39" i="14" s="1"/>
  <c r="M41" i="14"/>
  <c r="O41" i="14" s="1"/>
  <c r="M43" i="14"/>
  <c r="O43" i="14" s="1"/>
  <c r="M45" i="14"/>
  <c r="O45" i="14" s="1"/>
  <c r="M47" i="14"/>
  <c r="O47" i="14" s="1"/>
  <c r="M51" i="14"/>
  <c r="O51" i="14" s="1"/>
  <c r="M53" i="14"/>
  <c r="O53" i="14" s="1"/>
  <c r="M55" i="14"/>
  <c r="O55" i="14" s="1"/>
  <c r="M57" i="14"/>
  <c r="O57" i="14" s="1"/>
  <c r="M59" i="14"/>
  <c r="O59" i="14" s="1"/>
  <c r="M61" i="14"/>
  <c r="O61" i="14" s="1"/>
  <c r="M63" i="14"/>
  <c r="O63" i="14" s="1"/>
  <c r="M65" i="14"/>
  <c r="O65" i="14" s="1"/>
  <c r="M67" i="14"/>
  <c r="O67" i="14" s="1"/>
  <c r="M69" i="14"/>
  <c r="O69" i="14" s="1"/>
  <c r="M71" i="14"/>
  <c r="O71" i="14" s="1"/>
  <c r="M73" i="14"/>
  <c r="O73" i="14" s="1"/>
  <c r="M75" i="14"/>
  <c r="O75" i="14" s="1"/>
  <c r="M77" i="14"/>
  <c r="O77" i="14" s="1"/>
  <c r="M79" i="14"/>
  <c r="O79" i="14" s="1"/>
  <c r="M6" i="14"/>
  <c r="O6" i="14" s="1"/>
  <c r="J7" i="14"/>
  <c r="J8" i="14"/>
  <c r="J9" i="14"/>
  <c r="J10" i="14"/>
  <c r="J12" i="14"/>
  <c r="J13" i="14"/>
  <c r="J14" i="14"/>
  <c r="J15" i="14"/>
  <c r="J16" i="14"/>
  <c r="J19" i="14"/>
  <c r="J21" i="14"/>
  <c r="J23" i="14"/>
  <c r="J25" i="14"/>
  <c r="J27" i="14"/>
  <c r="J29" i="14"/>
  <c r="J31" i="14"/>
  <c r="J33" i="14"/>
  <c r="J35" i="14"/>
  <c r="J37" i="14"/>
  <c r="J39" i="14"/>
  <c r="J41" i="14"/>
  <c r="J43" i="14"/>
  <c r="J45" i="14"/>
  <c r="J47" i="14"/>
  <c r="J51" i="14"/>
  <c r="J53" i="14"/>
  <c r="J55" i="14"/>
  <c r="J57" i="14"/>
  <c r="J59" i="14"/>
  <c r="J61" i="14"/>
  <c r="J63" i="14"/>
  <c r="J65" i="14"/>
  <c r="J67" i="14"/>
  <c r="J69" i="14"/>
  <c r="J71" i="14"/>
  <c r="J73" i="14"/>
  <c r="J75" i="14"/>
  <c r="J77" i="14"/>
  <c r="J79" i="14"/>
  <c r="J6" i="14"/>
  <c r="H7" i="14"/>
  <c r="H8" i="14"/>
  <c r="H9" i="14"/>
  <c r="H10" i="14"/>
  <c r="H12" i="14"/>
  <c r="H13" i="14"/>
  <c r="H14" i="14"/>
  <c r="H15" i="14"/>
  <c r="H16" i="14"/>
  <c r="H19" i="14"/>
  <c r="H21" i="14"/>
  <c r="H23" i="14"/>
  <c r="H25" i="14"/>
  <c r="H27" i="14"/>
  <c r="H29" i="14"/>
  <c r="H31" i="14"/>
  <c r="H33" i="14"/>
  <c r="H35" i="14"/>
  <c r="H37" i="14"/>
  <c r="H39" i="14"/>
  <c r="H41" i="14"/>
  <c r="H43" i="14"/>
  <c r="H45" i="14"/>
  <c r="H47" i="14"/>
  <c r="H51" i="14"/>
  <c r="H53" i="14"/>
  <c r="H55" i="14"/>
  <c r="H57" i="14"/>
  <c r="H59" i="14"/>
  <c r="H61" i="14"/>
  <c r="H63" i="14"/>
  <c r="H65" i="14"/>
  <c r="H67" i="14"/>
  <c r="H69" i="14"/>
  <c r="H71" i="14"/>
  <c r="H73" i="14"/>
  <c r="H75" i="14"/>
  <c r="H77" i="14"/>
  <c r="H79" i="14"/>
  <c r="H6" i="14"/>
  <c r="R13" i="11"/>
  <c r="Q25" i="11"/>
  <c r="S25" i="11" s="1"/>
  <c r="P9" i="11"/>
  <c r="R9" i="11" s="1"/>
  <c r="P12" i="11"/>
  <c r="R12" i="11" s="1"/>
  <c r="P13" i="11"/>
  <c r="P25" i="11"/>
  <c r="R25" i="11" s="1"/>
  <c r="P79" i="11"/>
  <c r="R79" i="11" s="1"/>
  <c r="O8" i="11"/>
  <c r="P8" i="11" s="1"/>
  <c r="R8" i="11" s="1"/>
  <c r="O9" i="11"/>
  <c r="Q9" i="11" s="1"/>
  <c r="S9" i="11" s="1"/>
  <c r="O12" i="11"/>
  <c r="Q12" i="11" s="1"/>
  <c r="S12" i="11" s="1"/>
  <c r="O13" i="11"/>
  <c r="Q13" i="11" s="1"/>
  <c r="S13" i="11" s="1"/>
  <c r="O25" i="11"/>
  <c r="O29" i="11"/>
  <c r="P29" i="11" s="1"/>
  <c r="R29" i="11" s="1"/>
  <c r="O69" i="11"/>
  <c r="P69" i="11" s="1"/>
  <c r="R69" i="11" s="1"/>
  <c r="O73" i="11"/>
  <c r="Q73" i="11" s="1"/>
  <c r="O75" i="11"/>
  <c r="Q75" i="11" s="1"/>
  <c r="O77" i="11"/>
  <c r="P77" i="11" s="1"/>
  <c r="R77" i="11" s="1"/>
  <c r="O79" i="11"/>
  <c r="Q79" i="11" s="1"/>
  <c r="S79" i="11" s="1"/>
  <c r="N7" i="11"/>
  <c r="O7" i="11" s="1"/>
  <c r="N8" i="11"/>
  <c r="N9" i="11"/>
  <c r="N10" i="11"/>
  <c r="O10" i="11" s="1"/>
  <c r="N12" i="11"/>
  <c r="N13" i="11"/>
  <c r="N14" i="11"/>
  <c r="O14" i="11" s="1"/>
  <c r="N15" i="11"/>
  <c r="O15" i="11" s="1"/>
  <c r="N16" i="11"/>
  <c r="O16" i="11" s="1"/>
  <c r="N19" i="11"/>
  <c r="O19" i="11" s="1"/>
  <c r="N21" i="11"/>
  <c r="O21" i="11" s="1"/>
  <c r="N23" i="11"/>
  <c r="O23" i="11" s="1"/>
  <c r="N25" i="11"/>
  <c r="N27" i="11"/>
  <c r="O27" i="11" s="1"/>
  <c r="N29" i="11"/>
  <c r="N31" i="11"/>
  <c r="O31" i="11" s="1"/>
  <c r="N33" i="11"/>
  <c r="O33" i="11" s="1"/>
  <c r="N35" i="11"/>
  <c r="O35" i="11" s="1"/>
  <c r="N37" i="11"/>
  <c r="O37" i="11" s="1"/>
  <c r="N39" i="11"/>
  <c r="O39" i="11" s="1"/>
  <c r="N41" i="11"/>
  <c r="O41" i="11" s="1"/>
  <c r="N43" i="11"/>
  <c r="O43" i="11" s="1"/>
  <c r="N45" i="11"/>
  <c r="O45" i="11" s="1"/>
  <c r="N47" i="11"/>
  <c r="O47" i="11" s="1"/>
  <c r="N51" i="11"/>
  <c r="O51" i="11" s="1"/>
  <c r="N53" i="11"/>
  <c r="O53" i="11" s="1"/>
  <c r="N55" i="11"/>
  <c r="O55" i="11" s="1"/>
  <c r="N57" i="11"/>
  <c r="O57" i="11" s="1"/>
  <c r="N59" i="11"/>
  <c r="O59" i="11" s="1"/>
  <c r="N61" i="11"/>
  <c r="O61" i="11" s="1"/>
  <c r="N63" i="11"/>
  <c r="O63" i="11" s="1"/>
  <c r="N65" i="11"/>
  <c r="O65" i="11" s="1"/>
  <c r="N67" i="11"/>
  <c r="O67" i="11" s="1"/>
  <c r="N69" i="11"/>
  <c r="N71" i="11"/>
  <c r="O71" i="11" s="1"/>
  <c r="N73" i="11"/>
  <c r="N75" i="11"/>
  <c r="N77" i="11"/>
  <c r="N79" i="11"/>
  <c r="N6" i="11"/>
  <c r="O6" i="11" s="1"/>
  <c r="I13" i="11"/>
  <c r="K13" i="11" s="1"/>
  <c r="H8" i="11"/>
  <c r="I8" i="11" s="1"/>
  <c r="K8" i="11" s="1"/>
  <c r="H9" i="11"/>
  <c r="I9" i="11" s="1"/>
  <c r="K9" i="11" s="1"/>
  <c r="H13" i="11"/>
  <c r="H25" i="11"/>
  <c r="I25" i="11" s="1"/>
  <c r="K25" i="11" s="1"/>
  <c r="H27" i="11"/>
  <c r="I27" i="11" s="1"/>
  <c r="K27" i="11" s="1"/>
  <c r="H57" i="11"/>
  <c r="I57" i="11" s="1"/>
  <c r="K57" i="11" s="1"/>
  <c r="H63" i="11"/>
  <c r="I63" i="11" s="1"/>
  <c r="K63" i="11" s="1"/>
  <c r="G7" i="11"/>
  <c r="H7" i="11" s="1"/>
  <c r="I7" i="11" s="1"/>
  <c r="K7" i="11" s="1"/>
  <c r="G8" i="11"/>
  <c r="G9" i="11"/>
  <c r="G10" i="11"/>
  <c r="H10" i="11" s="1"/>
  <c r="I10" i="11" s="1"/>
  <c r="K10" i="11" s="1"/>
  <c r="G12" i="11"/>
  <c r="H12" i="11" s="1"/>
  <c r="I12" i="11" s="1"/>
  <c r="K12" i="11" s="1"/>
  <c r="G13" i="11"/>
  <c r="G14" i="11"/>
  <c r="H14" i="11" s="1"/>
  <c r="I14" i="11" s="1"/>
  <c r="K14" i="11" s="1"/>
  <c r="G15" i="11"/>
  <c r="H15" i="11" s="1"/>
  <c r="I15" i="11" s="1"/>
  <c r="K15" i="11" s="1"/>
  <c r="G16" i="11"/>
  <c r="H16" i="11" s="1"/>
  <c r="I16" i="11" s="1"/>
  <c r="K16" i="11" s="1"/>
  <c r="G19" i="11"/>
  <c r="H19" i="11" s="1"/>
  <c r="I19" i="11" s="1"/>
  <c r="K19" i="11" s="1"/>
  <c r="G21" i="11"/>
  <c r="H21" i="11" s="1"/>
  <c r="I21" i="11" s="1"/>
  <c r="K21" i="11" s="1"/>
  <c r="G23" i="11"/>
  <c r="H23" i="11" s="1"/>
  <c r="I23" i="11" s="1"/>
  <c r="K23" i="11" s="1"/>
  <c r="G25" i="11"/>
  <c r="G27" i="11"/>
  <c r="G29" i="11"/>
  <c r="H29" i="11" s="1"/>
  <c r="I29" i="11" s="1"/>
  <c r="K29" i="11" s="1"/>
  <c r="G31" i="11"/>
  <c r="H31" i="11" s="1"/>
  <c r="I31" i="11" s="1"/>
  <c r="K31" i="11" s="1"/>
  <c r="G33" i="11"/>
  <c r="H33" i="11" s="1"/>
  <c r="I33" i="11" s="1"/>
  <c r="K33" i="11" s="1"/>
  <c r="G35" i="11"/>
  <c r="H35" i="11" s="1"/>
  <c r="I35" i="11" s="1"/>
  <c r="K35" i="11" s="1"/>
  <c r="G37" i="11"/>
  <c r="H37" i="11" s="1"/>
  <c r="I37" i="11" s="1"/>
  <c r="K37" i="11" s="1"/>
  <c r="G39" i="11"/>
  <c r="H39" i="11" s="1"/>
  <c r="I39" i="11" s="1"/>
  <c r="K39" i="11" s="1"/>
  <c r="G41" i="11"/>
  <c r="H41" i="11" s="1"/>
  <c r="I41" i="11" s="1"/>
  <c r="K41" i="11" s="1"/>
  <c r="G43" i="11"/>
  <c r="H43" i="11" s="1"/>
  <c r="I43" i="11" s="1"/>
  <c r="K43" i="11" s="1"/>
  <c r="G45" i="11"/>
  <c r="H45" i="11" s="1"/>
  <c r="I45" i="11" s="1"/>
  <c r="K45" i="11" s="1"/>
  <c r="G47" i="11"/>
  <c r="H47" i="11" s="1"/>
  <c r="I47" i="11" s="1"/>
  <c r="K47" i="11" s="1"/>
  <c r="G51" i="11"/>
  <c r="H51" i="11" s="1"/>
  <c r="I51" i="11" s="1"/>
  <c r="K51" i="11" s="1"/>
  <c r="G53" i="11"/>
  <c r="H53" i="11" s="1"/>
  <c r="I53" i="11" s="1"/>
  <c r="K53" i="11" s="1"/>
  <c r="G55" i="11"/>
  <c r="H55" i="11" s="1"/>
  <c r="I55" i="11" s="1"/>
  <c r="K55" i="11" s="1"/>
  <c r="G57" i="11"/>
  <c r="G59" i="11"/>
  <c r="H59" i="11" s="1"/>
  <c r="I59" i="11" s="1"/>
  <c r="K59" i="11" s="1"/>
  <c r="G61" i="11"/>
  <c r="H61" i="11" s="1"/>
  <c r="I61" i="11" s="1"/>
  <c r="K61" i="11" s="1"/>
  <c r="G63" i="11"/>
  <c r="G65" i="11"/>
  <c r="H65" i="11" s="1"/>
  <c r="I65" i="11" s="1"/>
  <c r="K65" i="11" s="1"/>
  <c r="G67" i="11"/>
  <c r="H67" i="11" s="1"/>
  <c r="I67" i="11" s="1"/>
  <c r="K67" i="11" s="1"/>
  <c r="G69" i="11"/>
  <c r="H69" i="11" s="1"/>
  <c r="I69" i="11" s="1"/>
  <c r="K69" i="11" s="1"/>
  <c r="G71" i="11"/>
  <c r="H71" i="11" s="1"/>
  <c r="I71" i="11" s="1"/>
  <c r="K71" i="11" s="1"/>
  <c r="G73" i="11"/>
  <c r="H73" i="11" s="1"/>
  <c r="I73" i="11" s="1"/>
  <c r="K73" i="11" s="1"/>
  <c r="G75" i="11"/>
  <c r="H75" i="11" s="1"/>
  <c r="I75" i="11" s="1"/>
  <c r="K75" i="11" s="1"/>
  <c r="G77" i="11"/>
  <c r="H77" i="11" s="1"/>
  <c r="I77" i="11" s="1"/>
  <c r="K77" i="11" s="1"/>
  <c r="G79" i="11"/>
  <c r="H79" i="11" s="1"/>
  <c r="I79" i="11" s="1"/>
  <c r="K79" i="11" s="1"/>
  <c r="G6" i="11"/>
  <c r="H6" i="11" s="1"/>
  <c r="I6" i="11" s="1"/>
  <c r="K6" i="11" s="1"/>
  <c r="U79" i="12"/>
  <c r="W79" i="12" s="1"/>
  <c r="U77" i="12"/>
  <c r="W77" i="12" s="1"/>
  <c r="U75" i="12"/>
  <c r="W75" i="12" s="1"/>
  <c r="U73" i="12"/>
  <c r="W73" i="12" s="1"/>
  <c r="U71" i="12"/>
  <c r="W71" i="12" s="1"/>
  <c r="U69" i="12"/>
  <c r="W69" i="12" s="1"/>
  <c r="U67" i="12"/>
  <c r="W67" i="12" s="1"/>
  <c r="U65" i="12"/>
  <c r="W65" i="12" s="1"/>
  <c r="U63" i="12"/>
  <c r="W63" i="12" s="1"/>
  <c r="U61" i="12"/>
  <c r="W61" i="12" s="1"/>
  <c r="U59" i="12"/>
  <c r="W59" i="12" s="1"/>
  <c r="U57" i="12"/>
  <c r="W57" i="12" s="1"/>
  <c r="U55" i="12"/>
  <c r="W55" i="12" s="1"/>
  <c r="U53" i="12"/>
  <c r="W53" i="12" s="1"/>
  <c r="U51" i="12"/>
  <c r="W51" i="12" s="1"/>
  <c r="U47" i="12"/>
  <c r="W47" i="12" s="1"/>
  <c r="U45" i="12"/>
  <c r="W45" i="12" s="1"/>
  <c r="U43" i="12"/>
  <c r="W43" i="12" s="1"/>
  <c r="U41" i="12"/>
  <c r="W41" i="12" s="1"/>
  <c r="U39" i="12"/>
  <c r="W39" i="12" s="1"/>
  <c r="U37" i="12"/>
  <c r="W37" i="12" s="1"/>
  <c r="U35" i="12"/>
  <c r="W35" i="12" s="1"/>
  <c r="U33" i="12"/>
  <c r="W33" i="12" s="1"/>
  <c r="U31" i="12"/>
  <c r="W31" i="12" s="1"/>
  <c r="U29" i="12"/>
  <c r="W29" i="12" s="1"/>
  <c r="U27" i="12"/>
  <c r="W27" i="12" s="1"/>
  <c r="U25" i="12"/>
  <c r="W25" i="12" s="1"/>
  <c r="U23" i="12"/>
  <c r="W23" i="12" s="1"/>
  <c r="U21" i="12"/>
  <c r="W21" i="12" s="1"/>
  <c r="U19" i="12"/>
  <c r="W19" i="12" s="1"/>
  <c r="U16" i="12"/>
  <c r="W16" i="12" s="1"/>
  <c r="U15" i="12"/>
  <c r="W15" i="12" s="1"/>
  <c r="U14" i="12"/>
  <c r="W14" i="12" s="1"/>
  <c r="U13" i="12"/>
  <c r="W13" i="12" s="1"/>
  <c r="U12" i="12"/>
  <c r="W12" i="12" s="1"/>
  <c r="U10" i="12"/>
  <c r="W10" i="12" s="1"/>
  <c r="U9" i="12"/>
  <c r="W9" i="12" s="1"/>
  <c r="U8" i="12"/>
  <c r="W8" i="12" s="1"/>
  <c r="U7" i="12"/>
  <c r="W7" i="12" s="1"/>
  <c r="U6" i="12"/>
  <c r="W6" i="12" s="1"/>
  <c r="K77" i="12"/>
  <c r="K79" i="12"/>
  <c r="K75" i="12"/>
  <c r="K73" i="12"/>
  <c r="K71" i="12"/>
  <c r="K69" i="12"/>
  <c r="K67" i="12"/>
  <c r="L67" i="12" s="1"/>
  <c r="K65" i="12"/>
  <c r="K63" i="12"/>
  <c r="K61" i="12"/>
  <c r="K59" i="12"/>
  <c r="K57" i="12"/>
  <c r="K55" i="12"/>
  <c r="K53" i="12"/>
  <c r="K51" i="12"/>
  <c r="L51" i="12" s="1"/>
  <c r="K47" i="12"/>
  <c r="K45" i="12"/>
  <c r="K43" i="12"/>
  <c r="K41" i="12"/>
  <c r="K39" i="12"/>
  <c r="K37" i="12"/>
  <c r="K35" i="12"/>
  <c r="K33" i="12"/>
  <c r="L33" i="12" s="1"/>
  <c r="K31" i="12"/>
  <c r="K29" i="12"/>
  <c r="K27" i="12"/>
  <c r="K25" i="12"/>
  <c r="K23" i="12"/>
  <c r="K21" i="12"/>
  <c r="K19" i="12"/>
  <c r="K16" i="12"/>
  <c r="M16" i="12" s="1"/>
  <c r="K15" i="12"/>
  <c r="K14" i="12"/>
  <c r="K13" i="12"/>
  <c r="K12" i="12"/>
  <c r="K10" i="12"/>
  <c r="K9" i="12"/>
  <c r="K8" i="12"/>
  <c r="K7" i="12"/>
  <c r="K6" i="12"/>
  <c r="D86" i="7"/>
  <c r="E86" i="7"/>
  <c r="F86" i="7"/>
  <c r="C86" i="7"/>
  <c r="D85" i="7"/>
  <c r="E85" i="7"/>
  <c r="F85" i="7"/>
  <c r="C85" i="7"/>
  <c r="D84" i="7"/>
  <c r="E84" i="7"/>
  <c r="F84" i="7"/>
  <c r="C84" i="7"/>
  <c r="D83" i="7"/>
  <c r="E83" i="7"/>
  <c r="F83" i="7"/>
  <c r="C83" i="7"/>
  <c r="U79" i="5"/>
  <c r="Q79" i="5"/>
  <c r="U77" i="5"/>
  <c r="Q77" i="5"/>
  <c r="U75" i="5"/>
  <c r="Q75" i="5"/>
  <c r="U73" i="5"/>
  <c r="Q73" i="5"/>
  <c r="U71" i="5"/>
  <c r="Q71" i="5"/>
  <c r="U69" i="5"/>
  <c r="Q69" i="5"/>
  <c r="U67" i="5"/>
  <c r="Q67" i="5"/>
  <c r="U65" i="5"/>
  <c r="Q65" i="5"/>
  <c r="U63" i="5"/>
  <c r="Q63" i="5"/>
  <c r="U61" i="5"/>
  <c r="Q61" i="5"/>
  <c r="U59" i="5"/>
  <c r="Q59" i="5"/>
  <c r="U57" i="5"/>
  <c r="Q57" i="5"/>
  <c r="U55" i="5"/>
  <c r="Q55" i="5"/>
  <c r="U53" i="5"/>
  <c r="Q53" i="5"/>
  <c r="U51" i="5"/>
  <c r="Q51" i="5"/>
  <c r="U47" i="5"/>
  <c r="Q47" i="5"/>
  <c r="U45" i="5"/>
  <c r="Q45" i="5"/>
  <c r="U43" i="5"/>
  <c r="Q43" i="5"/>
  <c r="U41" i="5"/>
  <c r="Q41" i="5"/>
  <c r="U39" i="5"/>
  <c r="Q39" i="5"/>
  <c r="U37" i="5"/>
  <c r="Q37" i="5"/>
  <c r="U35" i="5"/>
  <c r="Q35" i="5"/>
  <c r="U33" i="5"/>
  <c r="Q33" i="5"/>
  <c r="U31" i="5"/>
  <c r="Q31" i="5"/>
  <c r="U29" i="5"/>
  <c r="Q29" i="5"/>
  <c r="U27" i="5"/>
  <c r="Q27" i="5"/>
  <c r="U25" i="5"/>
  <c r="Q25" i="5"/>
  <c r="U23" i="5"/>
  <c r="Q23" i="5"/>
  <c r="U21" i="5"/>
  <c r="Q21" i="5"/>
  <c r="U19" i="5"/>
  <c r="Q19" i="5"/>
  <c r="U16" i="5"/>
  <c r="Q16" i="5"/>
  <c r="U15" i="5"/>
  <c r="Q15" i="5"/>
  <c r="U14" i="5"/>
  <c r="Q14" i="5"/>
  <c r="U13" i="5"/>
  <c r="Q13" i="5"/>
  <c r="U12" i="5"/>
  <c r="Q12" i="5"/>
  <c r="U10" i="5"/>
  <c r="Q10" i="5"/>
  <c r="U9" i="5"/>
  <c r="Q9" i="5"/>
  <c r="U8" i="5"/>
  <c r="Q8" i="5"/>
  <c r="U7" i="5"/>
  <c r="Q7" i="5"/>
  <c r="U6" i="5"/>
  <c r="Q6" i="5"/>
  <c r="AC10" i="12" l="1"/>
  <c r="AC25" i="12"/>
  <c r="AC51" i="12"/>
  <c r="AD51" i="12"/>
  <c r="AC8" i="12"/>
  <c r="AC19" i="12"/>
  <c r="AC35" i="12"/>
  <c r="AC53" i="12"/>
  <c r="AC69" i="12"/>
  <c r="AD39" i="12"/>
  <c r="AC39" i="12"/>
  <c r="AC41" i="12"/>
  <c r="AC7" i="12"/>
  <c r="AD7" i="12"/>
  <c r="AC33" i="12"/>
  <c r="AD33" i="12"/>
  <c r="AD9" i="12"/>
  <c r="AC9" i="12"/>
  <c r="AC21" i="12"/>
  <c r="AC37" i="12"/>
  <c r="AC55" i="12"/>
  <c r="AD71" i="12"/>
  <c r="AC71" i="12"/>
  <c r="AC73" i="12"/>
  <c r="AC12" i="12"/>
  <c r="AC13" i="12"/>
  <c r="AD27" i="12"/>
  <c r="AC27" i="12"/>
  <c r="AC43" i="12"/>
  <c r="AC61" i="12"/>
  <c r="AC77" i="12"/>
  <c r="AD23" i="12"/>
  <c r="AC23" i="12"/>
  <c r="AC57" i="12"/>
  <c r="AC75" i="12"/>
  <c r="AC14" i="12"/>
  <c r="AD29" i="12"/>
  <c r="AC29" i="12"/>
  <c r="AC45" i="12"/>
  <c r="AC63" i="12"/>
  <c r="AC79" i="12"/>
  <c r="AC6" i="12"/>
  <c r="AC15" i="12"/>
  <c r="AC31" i="12"/>
  <c r="AC47" i="12"/>
  <c r="AC65" i="12"/>
  <c r="AC59" i="12"/>
  <c r="AC16" i="12"/>
  <c r="AD16" i="12"/>
  <c r="AC67" i="12"/>
  <c r="AD67" i="12"/>
  <c r="O67" i="12"/>
  <c r="O51" i="12"/>
  <c r="O33" i="12"/>
  <c r="P16" i="12"/>
  <c r="Q77" i="11"/>
  <c r="S77" i="11" s="1"/>
  <c r="P75" i="11"/>
  <c r="R75" i="11" s="1"/>
  <c r="S75" i="11" s="1"/>
  <c r="P73" i="11"/>
  <c r="R73" i="11" s="1"/>
  <c r="S73" i="11" s="1"/>
  <c r="P71" i="11"/>
  <c r="R71" i="11" s="1"/>
  <c r="Q71" i="11"/>
  <c r="Q69" i="11"/>
  <c r="S69" i="11" s="1"/>
  <c r="Q67" i="11"/>
  <c r="P67" i="11"/>
  <c r="R67" i="11" s="1"/>
  <c r="Q65" i="11"/>
  <c r="P65" i="11"/>
  <c r="R65" i="11" s="1"/>
  <c r="P63" i="11"/>
  <c r="R63" i="11" s="1"/>
  <c r="Q63" i="11"/>
  <c r="P61" i="11"/>
  <c r="R61" i="11" s="1"/>
  <c r="Q61" i="11"/>
  <c r="S61" i="11" s="1"/>
  <c r="Q59" i="11"/>
  <c r="S59" i="11" s="1"/>
  <c r="P59" i="11"/>
  <c r="R59" i="11" s="1"/>
  <c r="Q57" i="11"/>
  <c r="S57" i="11" s="1"/>
  <c r="P57" i="11"/>
  <c r="R57" i="11" s="1"/>
  <c r="Q55" i="11"/>
  <c r="P55" i="11"/>
  <c r="R55" i="11" s="1"/>
  <c r="P53" i="11"/>
  <c r="R53" i="11" s="1"/>
  <c r="Q53" i="11"/>
  <c r="S53" i="11" s="1"/>
  <c r="Q51" i="11"/>
  <c r="P51" i="11"/>
  <c r="R51" i="11" s="1"/>
  <c r="Q47" i="11"/>
  <c r="S47" i="11" s="1"/>
  <c r="P47" i="11"/>
  <c r="R47" i="11" s="1"/>
  <c r="P45" i="11"/>
  <c r="R45" i="11" s="1"/>
  <c r="Q45" i="11"/>
  <c r="S45" i="11" s="1"/>
  <c r="P43" i="11"/>
  <c r="R43" i="11" s="1"/>
  <c r="Q43" i="11"/>
  <c r="Q41" i="11"/>
  <c r="S41" i="11" s="1"/>
  <c r="P41" i="11"/>
  <c r="R41" i="11" s="1"/>
  <c r="Q39" i="11"/>
  <c r="S39" i="11" s="1"/>
  <c r="P39" i="11"/>
  <c r="R39" i="11" s="1"/>
  <c r="P37" i="11"/>
  <c r="R37" i="11" s="1"/>
  <c r="Q37" i="11"/>
  <c r="P35" i="11"/>
  <c r="R35" i="11" s="1"/>
  <c r="Q35" i="11"/>
  <c r="S35" i="11" s="1"/>
  <c r="Q33" i="11"/>
  <c r="S33" i="11" s="1"/>
  <c r="P33" i="11"/>
  <c r="R33" i="11" s="1"/>
  <c r="Q31" i="11"/>
  <c r="P31" i="11"/>
  <c r="R31" i="11" s="1"/>
  <c r="Q29" i="11"/>
  <c r="S29" i="11" s="1"/>
  <c r="P27" i="11"/>
  <c r="R27" i="11" s="1"/>
  <c r="Q27" i="11"/>
  <c r="S27" i="11" s="1"/>
  <c r="P23" i="11"/>
  <c r="R23" i="11" s="1"/>
  <c r="Q23" i="11"/>
  <c r="Q21" i="11"/>
  <c r="S21" i="11" s="1"/>
  <c r="P21" i="11"/>
  <c r="R21" i="11" s="1"/>
  <c r="Q19" i="11"/>
  <c r="S19" i="11" s="1"/>
  <c r="P19" i="11"/>
  <c r="R19" i="11" s="1"/>
  <c r="P16" i="11"/>
  <c r="R16" i="11" s="1"/>
  <c r="Q16" i="11"/>
  <c r="S16" i="11" s="1"/>
  <c r="Q15" i="11"/>
  <c r="S15" i="11" s="1"/>
  <c r="P15" i="11"/>
  <c r="R15" i="11" s="1"/>
  <c r="P14" i="11"/>
  <c r="R14" i="11" s="1"/>
  <c r="Q14" i="11"/>
  <c r="P10" i="11"/>
  <c r="R10" i="11" s="1"/>
  <c r="Q10" i="11"/>
  <c r="Q8" i="11"/>
  <c r="S8" i="11" s="1"/>
  <c r="P7" i="11"/>
  <c r="R7" i="11" s="1"/>
  <c r="Q7" i="11"/>
  <c r="S7" i="11" s="1"/>
  <c r="Q6" i="11"/>
  <c r="S6" i="11" s="1"/>
  <c r="P6" i="11"/>
  <c r="R6" i="11" s="1"/>
  <c r="J13" i="11"/>
  <c r="J35" i="11"/>
  <c r="J25" i="11"/>
  <c r="J59" i="11"/>
  <c r="J19" i="11"/>
  <c r="J51" i="11"/>
  <c r="J69" i="11"/>
  <c r="J31" i="11"/>
  <c r="J71" i="11"/>
  <c r="J75" i="11"/>
  <c r="J43" i="11"/>
  <c r="J77" i="11"/>
  <c r="J6" i="11"/>
  <c r="J7" i="11"/>
  <c r="M33" i="12"/>
  <c r="N33" i="12" s="1"/>
  <c r="R33" i="12" s="1"/>
  <c r="L16" i="12"/>
  <c r="N16" i="12" s="1"/>
  <c r="R16" i="12" s="1"/>
  <c r="L7" i="12"/>
  <c r="O7" i="12" s="1"/>
  <c r="M67" i="12"/>
  <c r="N67" i="12" s="1"/>
  <c r="R67" i="12" s="1"/>
  <c r="M51" i="12"/>
  <c r="N51" i="12" s="1"/>
  <c r="R51" i="12" s="1"/>
  <c r="M7" i="12"/>
  <c r="P7" i="12" s="1"/>
  <c r="L6" i="12"/>
  <c r="O6" i="12" s="1"/>
  <c r="L65" i="12"/>
  <c r="O65" i="12" s="1"/>
  <c r="L47" i="12"/>
  <c r="O47" i="12" s="1"/>
  <c r="L31" i="12"/>
  <c r="O31" i="12" s="1"/>
  <c r="L15" i="12"/>
  <c r="O15" i="12" s="1"/>
  <c r="M6" i="12"/>
  <c r="P6" i="12" s="1"/>
  <c r="M65" i="12"/>
  <c r="P65" i="12" s="1"/>
  <c r="M47" i="12"/>
  <c r="P47" i="12" s="1"/>
  <c r="M31" i="12"/>
  <c r="P31" i="12" s="1"/>
  <c r="M15" i="12"/>
  <c r="P15" i="12" s="1"/>
  <c r="L79" i="12"/>
  <c r="O79" i="12" s="1"/>
  <c r="L63" i="12"/>
  <c r="O63" i="12" s="1"/>
  <c r="L45" i="12"/>
  <c r="O45" i="12" s="1"/>
  <c r="L29" i="12"/>
  <c r="O29" i="12" s="1"/>
  <c r="L14" i="12"/>
  <c r="O14" i="12" s="1"/>
  <c r="M79" i="12"/>
  <c r="P79" i="12" s="1"/>
  <c r="M63" i="12"/>
  <c r="P63" i="12" s="1"/>
  <c r="M45" i="12"/>
  <c r="P45" i="12" s="1"/>
  <c r="M29" i="12"/>
  <c r="P29" i="12" s="1"/>
  <c r="M14" i="12"/>
  <c r="P14" i="12" s="1"/>
  <c r="L77" i="12"/>
  <c r="O77" i="12" s="1"/>
  <c r="L61" i="12"/>
  <c r="O61" i="12" s="1"/>
  <c r="L43" i="12"/>
  <c r="O43" i="12" s="1"/>
  <c r="L27" i="12"/>
  <c r="O27" i="12" s="1"/>
  <c r="L13" i="12"/>
  <c r="M77" i="12"/>
  <c r="P77" i="12" s="1"/>
  <c r="M61" i="12"/>
  <c r="P61" i="12" s="1"/>
  <c r="M43" i="12"/>
  <c r="P43" i="12" s="1"/>
  <c r="M27" i="12"/>
  <c r="P27" i="12" s="1"/>
  <c r="M13" i="12"/>
  <c r="P13" i="12" s="1"/>
  <c r="L75" i="12"/>
  <c r="O75" i="12" s="1"/>
  <c r="L59" i="12"/>
  <c r="O59" i="12" s="1"/>
  <c r="L41" i="12"/>
  <c r="L25" i="12"/>
  <c r="O25" i="12" s="1"/>
  <c r="L12" i="12"/>
  <c r="O12" i="12" s="1"/>
  <c r="M75" i="12"/>
  <c r="P75" i="12" s="1"/>
  <c r="M59" i="12"/>
  <c r="P59" i="12" s="1"/>
  <c r="M41" i="12"/>
  <c r="P41" i="12" s="1"/>
  <c r="M25" i="12"/>
  <c r="P25" i="12" s="1"/>
  <c r="M12" i="12"/>
  <c r="P12" i="12" s="1"/>
  <c r="L73" i="12"/>
  <c r="L57" i="12"/>
  <c r="O57" i="12" s="1"/>
  <c r="L39" i="12"/>
  <c r="O39" i="12" s="1"/>
  <c r="L23" i="12"/>
  <c r="O23" i="12" s="1"/>
  <c r="L10" i="12"/>
  <c r="O10" i="12" s="1"/>
  <c r="M73" i="12"/>
  <c r="P73" i="12" s="1"/>
  <c r="M57" i="12"/>
  <c r="P57" i="12" s="1"/>
  <c r="M39" i="12"/>
  <c r="P39" i="12" s="1"/>
  <c r="M23" i="12"/>
  <c r="P23" i="12" s="1"/>
  <c r="M10" i="12"/>
  <c r="P10" i="12" s="1"/>
  <c r="L71" i="12"/>
  <c r="O71" i="12" s="1"/>
  <c r="L55" i="12"/>
  <c r="O55" i="12" s="1"/>
  <c r="L37" i="12"/>
  <c r="O37" i="12" s="1"/>
  <c r="L21" i="12"/>
  <c r="O21" i="12" s="1"/>
  <c r="L9" i="12"/>
  <c r="O9" i="12" s="1"/>
  <c r="M71" i="12"/>
  <c r="P71" i="12" s="1"/>
  <c r="M55" i="12"/>
  <c r="P55" i="12" s="1"/>
  <c r="M37" i="12"/>
  <c r="P37" i="12" s="1"/>
  <c r="M21" i="12"/>
  <c r="P21" i="12" s="1"/>
  <c r="M9" i="12"/>
  <c r="P9" i="12" s="1"/>
  <c r="L69" i="12"/>
  <c r="O69" i="12" s="1"/>
  <c r="L53" i="12"/>
  <c r="O53" i="12" s="1"/>
  <c r="L35" i="12"/>
  <c r="O35" i="12" s="1"/>
  <c r="L19" i="12"/>
  <c r="O19" i="12" s="1"/>
  <c r="L8" i="12"/>
  <c r="M69" i="12"/>
  <c r="P69" i="12" s="1"/>
  <c r="M53" i="12"/>
  <c r="P53" i="12" s="1"/>
  <c r="M35" i="12"/>
  <c r="P35" i="12" s="1"/>
  <c r="M19" i="12"/>
  <c r="P19" i="12" s="1"/>
  <c r="M8" i="12"/>
  <c r="P8" i="12" s="1"/>
  <c r="AD65" i="12" l="1"/>
  <c r="AD6" i="12"/>
  <c r="AD19" i="12"/>
  <c r="AD15" i="12"/>
  <c r="AD57" i="12"/>
  <c r="AD73" i="12"/>
  <c r="AD41" i="12"/>
  <c r="AD25" i="12"/>
  <c r="AD59" i="12"/>
  <c r="AD45" i="12"/>
  <c r="AD43" i="12"/>
  <c r="AD21" i="12"/>
  <c r="AD35" i="12"/>
  <c r="AD10" i="12"/>
  <c r="AD47" i="12"/>
  <c r="AD79" i="12"/>
  <c r="AD14" i="12"/>
  <c r="AD77" i="12"/>
  <c r="AD13" i="12"/>
  <c r="AD55" i="12"/>
  <c r="AD69" i="12"/>
  <c r="AD8" i="12"/>
  <c r="AD63" i="12"/>
  <c r="AD12" i="12"/>
  <c r="AD37" i="12"/>
  <c r="Q55" i="12"/>
  <c r="S55" i="12" s="1"/>
  <c r="Q23" i="12"/>
  <c r="S23" i="12" s="1"/>
  <c r="Q63" i="12"/>
  <c r="S63" i="12" s="1"/>
  <c r="Q31" i="12"/>
  <c r="S31" i="12" s="1"/>
  <c r="AD31" i="12"/>
  <c r="AD61" i="12"/>
  <c r="AD53" i="12"/>
  <c r="Q39" i="12"/>
  <c r="S39" i="12" s="1"/>
  <c r="Q79" i="12"/>
  <c r="S79" i="12" s="1"/>
  <c r="Q47" i="12"/>
  <c r="S47" i="12" s="1"/>
  <c r="AD75" i="12"/>
  <c r="Q71" i="12"/>
  <c r="S71" i="12" s="1"/>
  <c r="Q25" i="12"/>
  <c r="S25" i="12" s="1"/>
  <c r="N8" i="12"/>
  <c r="R8" i="12" s="1"/>
  <c r="N73" i="12"/>
  <c r="R73" i="12" s="1"/>
  <c r="Q19" i="12"/>
  <c r="S19" i="12" s="1"/>
  <c r="P51" i="12"/>
  <c r="Q51" i="12" s="1"/>
  <c r="S51" i="12" s="1"/>
  <c r="T51" i="12" s="1"/>
  <c r="Q12" i="12"/>
  <c r="S12" i="12" s="1"/>
  <c r="Q61" i="12"/>
  <c r="S61" i="12" s="1"/>
  <c r="Q15" i="12"/>
  <c r="S15" i="12" s="1"/>
  <c r="Q59" i="12"/>
  <c r="S59" i="12" s="1"/>
  <c r="Q35" i="12"/>
  <c r="S35" i="12" s="1"/>
  <c r="Q75" i="12"/>
  <c r="S75" i="12" s="1"/>
  <c r="Q43" i="12"/>
  <c r="S43" i="12" s="1"/>
  <c r="Q21" i="12"/>
  <c r="S21" i="12" s="1"/>
  <c r="Q53" i="12"/>
  <c r="S53" i="12" s="1"/>
  <c r="Q69" i="12"/>
  <c r="S69" i="12" s="1"/>
  <c r="Q37" i="12"/>
  <c r="S37" i="12" s="1"/>
  <c r="Q10" i="12"/>
  <c r="S10" i="12" s="1"/>
  <c r="Q77" i="12"/>
  <c r="S77" i="12" s="1"/>
  <c r="Q45" i="12"/>
  <c r="S45" i="12" s="1"/>
  <c r="Q7" i="12"/>
  <c r="S7" i="12" s="1"/>
  <c r="Q27" i="12"/>
  <c r="S27" i="12" s="1"/>
  <c r="Q29" i="12"/>
  <c r="S29" i="12" s="1"/>
  <c r="O73" i="12"/>
  <c r="Q73" i="12" s="1"/>
  <c r="S73" i="12" s="1"/>
  <c r="Q6" i="12"/>
  <c r="S6" i="12" s="1"/>
  <c r="Q57" i="12"/>
  <c r="S57" i="12" s="1"/>
  <c r="N41" i="12"/>
  <c r="R41" i="12" s="1"/>
  <c r="N13" i="12"/>
  <c r="R13" i="12" s="1"/>
  <c r="N6" i="12"/>
  <c r="R6" i="12" s="1"/>
  <c r="P33" i="12"/>
  <c r="Q33" i="12" s="1"/>
  <c r="S33" i="12" s="1"/>
  <c r="T33" i="12" s="1"/>
  <c r="O8" i="12"/>
  <c r="Q8" i="12" s="1"/>
  <c r="S8" i="12" s="1"/>
  <c r="Q14" i="12"/>
  <c r="S14" i="12" s="1"/>
  <c r="Q9" i="12"/>
  <c r="S9" i="12" s="1"/>
  <c r="O41" i="12"/>
  <c r="Q41" i="12" s="1"/>
  <c r="S41" i="12" s="1"/>
  <c r="P67" i="12"/>
  <c r="Q67" i="12" s="1"/>
  <c r="S67" i="12" s="1"/>
  <c r="T67" i="12" s="1"/>
  <c r="Q65" i="12"/>
  <c r="S65" i="12" s="1"/>
  <c r="O16" i="12"/>
  <c r="Q16" i="12" s="1"/>
  <c r="S16" i="12" s="1"/>
  <c r="T16" i="12" s="1"/>
  <c r="O13" i="12"/>
  <c r="Q13" i="12" s="1"/>
  <c r="S13" i="12" s="1"/>
  <c r="S71" i="11"/>
  <c r="S67" i="11"/>
  <c r="S65" i="11"/>
  <c r="S63" i="11"/>
  <c r="S55" i="11"/>
  <c r="S51" i="11"/>
  <c r="S43" i="11"/>
  <c r="S37" i="11"/>
  <c r="S31" i="11"/>
  <c r="S23" i="11"/>
  <c r="S14" i="11"/>
  <c r="S10" i="11"/>
  <c r="J65" i="11"/>
  <c r="L43" i="11"/>
  <c r="J37" i="11"/>
  <c r="L37" i="11" s="1"/>
  <c r="J33" i="11"/>
  <c r="L19" i="11"/>
  <c r="J16" i="11"/>
  <c r="L16" i="11" s="1"/>
  <c r="J12" i="11"/>
  <c r="L12" i="11" s="1"/>
  <c r="J9" i="11"/>
  <c r="J41" i="11"/>
  <c r="L41" i="11" s="1"/>
  <c r="L13" i="11"/>
  <c r="J15" i="11"/>
  <c r="J39" i="11"/>
  <c r="L7" i="11"/>
  <c r="J73" i="11"/>
  <c r="L75" i="11"/>
  <c r="L6" i="11"/>
  <c r="J53" i="11"/>
  <c r="L59" i="11"/>
  <c r="J27" i="11"/>
  <c r="J67" i="11"/>
  <c r="L51" i="11"/>
  <c r="J61" i="11"/>
  <c r="L25" i="11"/>
  <c r="J8" i="11"/>
  <c r="J21" i="11"/>
  <c r="J47" i="11"/>
  <c r="J57" i="11"/>
  <c r="J45" i="11"/>
  <c r="J14" i="11"/>
  <c r="J79" i="11"/>
  <c r="J55" i="11"/>
  <c r="L69" i="11"/>
  <c r="L77" i="11"/>
  <c r="J63" i="11"/>
  <c r="J29" i="11"/>
  <c r="L31" i="11"/>
  <c r="L35" i="11"/>
  <c r="J23" i="11"/>
  <c r="L23" i="11" s="1"/>
  <c r="L71" i="11"/>
  <c r="J10" i="11"/>
  <c r="N19" i="12"/>
  <c r="R19" i="12" s="1"/>
  <c r="T19" i="12" s="1"/>
  <c r="N9" i="12"/>
  <c r="R9" i="12" s="1"/>
  <c r="N37" i="12"/>
  <c r="R37" i="12" s="1"/>
  <c r="N77" i="12"/>
  <c r="R77" i="12" s="1"/>
  <c r="N7" i="12"/>
  <c r="R7" i="12" s="1"/>
  <c r="T7" i="12" s="1"/>
  <c r="N69" i="12"/>
  <c r="R69" i="12" s="1"/>
  <c r="T69" i="12" s="1"/>
  <c r="N45" i="12"/>
  <c r="R45" i="12" s="1"/>
  <c r="N10" i="12"/>
  <c r="R10" i="12" s="1"/>
  <c r="T10" i="12" s="1"/>
  <c r="N15" i="12"/>
  <c r="R15" i="12" s="1"/>
  <c r="N55" i="12"/>
  <c r="R55" i="12" s="1"/>
  <c r="N23" i="12"/>
  <c r="R23" i="12" s="1"/>
  <c r="N63" i="12"/>
  <c r="R63" i="12" s="1"/>
  <c r="N31" i="12"/>
  <c r="R31" i="12" s="1"/>
  <c r="T31" i="12" s="1"/>
  <c r="N71" i="12"/>
  <c r="R71" i="12" s="1"/>
  <c r="T71" i="12" s="1"/>
  <c r="N12" i="12"/>
  <c r="R12" i="12" s="1"/>
  <c r="N61" i="12"/>
  <c r="R61" i="12" s="1"/>
  <c r="N79" i="12"/>
  <c r="R79" i="12" s="1"/>
  <c r="N47" i="12"/>
  <c r="R47" i="12" s="1"/>
  <c r="N21" i="12"/>
  <c r="R21" i="12" s="1"/>
  <c r="N39" i="12"/>
  <c r="R39" i="12" s="1"/>
  <c r="T39" i="12" s="1"/>
  <c r="N57" i="12"/>
  <c r="R57" i="12" s="1"/>
  <c r="N25" i="12"/>
  <c r="R25" i="12" s="1"/>
  <c r="N65" i="12"/>
  <c r="R65" i="12" s="1"/>
  <c r="N59" i="12"/>
  <c r="R59" i="12" s="1"/>
  <c r="T59" i="12" s="1"/>
  <c r="N27" i="12"/>
  <c r="R27" i="12" s="1"/>
  <c r="N35" i="12"/>
  <c r="R35" i="12" s="1"/>
  <c r="N75" i="12"/>
  <c r="R75" i="12" s="1"/>
  <c r="N43" i="12"/>
  <c r="R43" i="12" s="1"/>
  <c r="T43" i="12" s="1"/>
  <c r="N14" i="12"/>
  <c r="R14" i="12" s="1"/>
  <c r="N53" i="12"/>
  <c r="R53" i="12" s="1"/>
  <c r="N29" i="12"/>
  <c r="R29" i="12" s="1"/>
  <c r="T65" i="12" l="1"/>
  <c r="T45" i="12"/>
  <c r="T73" i="12"/>
  <c r="T75" i="12"/>
  <c r="T21" i="12"/>
  <c r="T55" i="12"/>
  <c r="T79" i="12"/>
  <c r="T27" i="12"/>
  <c r="T25" i="12"/>
  <c r="T12" i="12"/>
  <c r="T57" i="12"/>
  <c r="T8" i="12"/>
  <c r="T63" i="12"/>
  <c r="T77" i="12"/>
  <c r="T14" i="12"/>
  <c r="T23" i="12"/>
  <c r="T35" i="12"/>
  <c r="T47" i="12"/>
  <c r="T15" i="12"/>
  <c r="T13" i="12"/>
  <c r="T61" i="12"/>
  <c r="T29" i="12"/>
  <c r="T53" i="12"/>
  <c r="T41" i="12"/>
  <c r="T37" i="12"/>
  <c r="T9" i="12"/>
  <c r="T6" i="12"/>
  <c r="L47" i="11"/>
  <c r="L65" i="11"/>
  <c r="L9" i="11"/>
  <c r="L33" i="11"/>
  <c r="L15" i="11"/>
  <c r="L73" i="11"/>
  <c r="L57" i="11"/>
  <c r="L39" i="11"/>
  <c r="L45" i="11"/>
  <c r="L53" i="11"/>
  <c r="L21" i="11"/>
  <c r="L27" i="11"/>
  <c r="L67" i="11"/>
  <c r="L61" i="11"/>
  <c r="L79" i="11"/>
  <c r="L8" i="11"/>
  <c r="L29" i="11"/>
  <c r="L63" i="11"/>
  <c r="L55" i="11"/>
  <c r="L10" i="11"/>
  <c r="L14" i="11"/>
</calcChain>
</file>

<file path=xl/sharedStrings.xml><?xml version="1.0" encoding="utf-8"?>
<sst xmlns="http://schemas.openxmlformats.org/spreadsheetml/2006/main" count="2389" uniqueCount="182">
  <si>
    <t xml:space="preserve">Item </t>
  </si>
  <si>
    <t>North (N)</t>
  </si>
  <si>
    <t>South (S)</t>
  </si>
  <si>
    <t>East (E)</t>
  </si>
  <si>
    <t>West (W)</t>
  </si>
  <si>
    <t>N</t>
  </si>
  <si>
    <t>S</t>
  </si>
  <si>
    <t>E</t>
  </si>
  <si>
    <t>W</t>
  </si>
  <si>
    <t>SAM 2023.12.17</t>
  </si>
  <si>
    <t>Weather Data Download - Madrid 082210 (IWEC)</t>
  </si>
  <si>
    <t xml:space="preserve">Assessment Tool </t>
  </si>
  <si>
    <t xml:space="preserve">Location </t>
  </si>
  <si>
    <t xml:space="preserve">Madrid, Spain </t>
  </si>
  <si>
    <t>Array Type</t>
  </si>
  <si>
    <t xml:space="preserve">Fixed Roof Mount </t>
  </si>
  <si>
    <t xml:space="preserve">Vertical Façade </t>
  </si>
  <si>
    <t xml:space="preserve">Azimuth Angel </t>
  </si>
  <si>
    <t xml:space="preserve">System Advisor Model </t>
  </si>
  <si>
    <t>0o</t>
  </si>
  <si>
    <t>180o</t>
  </si>
  <si>
    <t>90o</t>
  </si>
  <si>
    <t>270o</t>
  </si>
  <si>
    <t xml:space="preserve">Façade feature </t>
  </si>
  <si>
    <t xml:space="preserve">Orientation of the Opaque Façade </t>
  </si>
  <si>
    <t>Orientation of the Overhang</t>
  </si>
  <si>
    <t xml:space="preserve">A tile angel of 90o </t>
  </si>
  <si>
    <t xml:space="preserve">A tile angel of 60o </t>
  </si>
  <si>
    <t xml:space="preserve">A tile angel of 30o </t>
  </si>
  <si>
    <t xml:space="preserve">A tile angel of 0o </t>
  </si>
  <si>
    <t xml:space="preserve">Tilt Angel </t>
  </si>
  <si>
    <t xml:space="preserve">Vertical Façade/overhang </t>
  </si>
  <si>
    <t xml:space="preserve">Overhang </t>
  </si>
  <si>
    <t>Surface tile angel of 60°</t>
  </si>
  <si>
    <t>Surface tile angel of 30°</t>
  </si>
  <si>
    <t>Surface tile angel of 0°</t>
  </si>
  <si>
    <t xml:space="preserve">Tilt Angels </t>
  </si>
  <si>
    <t xml:space="preserve">Description/Inputs </t>
  </si>
  <si>
    <r>
      <t>Surface tile angel of 90</t>
    </r>
    <r>
      <rPr>
        <b/>
        <sz val="11"/>
        <rFont val="Calibri"/>
        <family val="2"/>
      </rPr>
      <t>°</t>
    </r>
  </si>
  <si>
    <r>
      <t>90</t>
    </r>
    <r>
      <rPr>
        <b/>
        <sz val="11"/>
        <color theme="1"/>
        <rFont val="Calibri"/>
        <family val="2"/>
      </rPr>
      <t>°</t>
    </r>
  </si>
  <si>
    <r>
      <t>60</t>
    </r>
    <r>
      <rPr>
        <b/>
        <sz val="11"/>
        <color theme="1"/>
        <rFont val="Calibri"/>
        <family val="2"/>
      </rPr>
      <t>°</t>
    </r>
  </si>
  <si>
    <r>
      <t>30</t>
    </r>
    <r>
      <rPr>
        <b/>
        <sz val="11"/>
        <color theme="1"/>
        <rFont val="Calibri"/>
        <family val="2"/>
      </rPr>
      <t>°</t>
    </r>
  </si>
  <si>
    <r>
      <t>0</t>
    </r>
    <r>
      <rPr>
        <b/>
        <sz val="11"/>
        <color theme="1"/>
        <rFont val="Calibri"/>
        <family val="2"/>
      </rPr>
      <t>°</t>
    </r>
  </si>
  <si>
    <t xml:space="preserve">Months of Madrid Whole Summer Design Period </t>
  </si>
  <si>
    <t>Jun</t>
  </si>
  <si>
    <t>Jul</t>
  </si>
  <si>
    <t>Aug</t>
  </si>
  <si>
    <t>Plane array irradiance (kWh/m2/month)</t>
  </si>
  <si>
    <t>Thermally-Driven</t>
  </si>
  <si>
    <t xml:space="preserve">Electrically-driven </t>
  </si>
  <si>
    <t>-</t>
  </si>
  <si>
    <t xml:space="preserve">Orientation of the Building Main Entrance to the North </t>
  </si>
  <si>
    <t xml:space="preserve">Scenarios per configuration </t>
  </si>
  <si>
    <t>Sureface Tilt angels</t>
  </si>
  <si>
    <t>Area for collection Devcies Per Façade Orientation (STC/PV)</t>
  </si>
  <si>
    <t>Vertical Façade  along the external layer of the opaque façades (Backside of the building-opposite to the main entrance)</t>
  </si>
  <si>
    <t xml:space="preserve"> Along the external layer of the opaque façades (Backside of the building-opposite to the main entrance)</t>
  </si>
  <si>
    <t>SOLarry (N) (m2)</t>
  </si>
  <si>
    <t>SOLarry (S) (m2)</t>
  </si>
  <si>
    <t>SOLarry (E) (m2)</t>
  </si>
  <si>
    <t>SOLarry (W) (m2)</t>
  </si>
  <si>
    <t xml:space="preserve">Double-effect chillers with evacuated tubes collectors </t>
  </si>
  <si>
    <t>COPsolarsys</t>
  </si>
  <si>
    <t>COPcoolsys</t>
  </si>
  <si>
    <t>Water-cooled vapor compression chiller and Polycrystalline PV panel</t>
  </si>
  <si>
    <t xml:space="preserve">Flat Roofs &amp; Façade </t>
  </si>
  <si>
    <t xml:space="preserve">Envelop Possibilities </t>
  </si>
  <si>
    <t xml:space="preserve">Roofs  Tops </t>
  </si>
  <si>
    <t>Installing solar collection devices on rooftops</t>
  </si>
  <si>
    <t xml:space="preserve">On the top of flat roofs with a particular tilt angel and orientation </t>
  </si>
  <si>
    <t>Option one: Use Factor of 0,15</t>
  </si>
  <si>
    <t>Option two: Use Factor of 0,25</t>
  </si>
  <si>
    <t>Option three: Use Factor of 0,40</t>
  </si>
  <si>
    <t>Option four: Use Factor of 0,50</t>
  </si>
  <si>
    <t>Option five: Use Factor of 0,6</t>
  </si>
  <si>
    <t>Along parapets of balconies and roofs</t>
  </si>
  <si>
    <t>Installing solar collection devices on rooftops and considering vertical attachment of solar collection devices along the external layer of the opaque façades</t>
  </si>
  <si>
    <t xml:space="preserve">Installing solar collection devices on rooftops and considering vertical attachment of solar collection devices along the external layer of the opaque façades and additional overhangs for installing the collector at different tilt angles </t>
  </si>
  <si>
    <t xml:space="preserve">Design features </t>
  </si>
  <si>
    <t>Rooftop and overhang features</t>
  </si>
  <si>
    <t>Option 1</t>
  </si>
  <si>
    <t>Option 2</t>
  </si>
  <si>
    <t>Option 3</t>
  </si>
  <si>
    <t>Option 4</t>
  </si>
  <si>
    <t>Option 5</t>
  </si>
  <si>
    <t>Option 6</t>
  </si>
  <si>
    <t>Option 7</t>
  </si>
  <si>
    <t>Option 8</t>
  </si>
  <si>
    <t>Option 9</t>
  </si>
  <si>
    <t>Option 10</t>
  </si>
  <si>
    <t>Option 11</t>
  </si>
  <si>
    <t>Option 12</t>
  </si>
  <si>
    <t>Option 13</t>
  </si>
  <si>
    <t>Option 14</t>
  </si>
  <si>
    <t>Option 15</t>
  </si>
  <si>
    <t>Rooftop: Use Factor of 0,15</t>
  </si>
  <si>
    <t>Rooftop: Use Factor of 0,25</t>
  </si>
  <si>
    <t>Rooftop: Use Factor of 0,40</t>
  </si>
  <si>
    <t>Rooftop: Use Factor of 0,5</t>
  </si>
  <si>
    <t>Rooftop: Use Factor of 0,6</t>
  </si>
  <si>
    <t>Overhang (tilt angel of 60)</t>
  </si>
  <si>
    <t>Overhang (tilt angel of 30)</t>
  </si>
  <si>
    <t>Overhang (tilt angel of 0)</t>
  </si>
  <si>
    <t>Overhang (tilt angel of 00)</t>
  </si>
  <si>
    <t xml:space="preserve">Installing solar collection devices on rooftops and considering vertical attachment of solar collection devices along the external layer of the opaque façades and parapets of balconies and roofs and also additional overhangs for installing the collector at different tilt angles </t>
  </si>
  <si>
    <t xml:space="preserve">Month </t>
  </si>
  <si>
    <t>Surface tile angel of 90°</t>
  </si>
  <si>
    <t xml:space="preserve">Summer season plane array irradiance (ESOLinput) (kWh/m2/summer season) considering Orientation of the solar collection system </t>
  </si>
  <si>
    <t xml:space="preserve">All summer season: June to August  </t>
  </si>
  <si>
    <t xml:space="preserve">(ESOLinput) (N) (kWh/m2/summer season)  </t>
  </si>
  <si>
    <t xml:space="preserve">(ESOLinput) (S) (kWh/m2/summer season)  </t>
  </si>
  <si>
    <t xml:space="preserve">(ESOLinput) (E) (kWh/m2/summer season)  </t>
  </si>
  <si>
    <t>Setup to calculate daily average solar irradiance at different orientations of the solar collection system  considering all summer season of Madrid</t>
  </si>
  <si>
    <t>Total Area of Solar Collection Devices (m2)</t>
  </si>
  <si>
    <t>Specific cost of  collectors [€/m2]</t>
  </si>
  <si>
    <t xml:space="preserve">Specific cost of  collectors collector auxiliaries [€/m2] </t>
  </si>
  <si>
    <t>Total Investment cost of  collectors [€]</t>
  </si>
  <si>
    <t>O&amp;M cost of collectors auxiliaries [€]</t>
  </si>
  <si>
    <t>Total O&amp;M cost of  collectors [€]</t>
  </si>
  <si>
    <t>O&amp;M cost of collectors  [€]</t>
  </si>
  <si>
    <t>Total annualized O&amp;M cost of collectors [€/year]</t>
  </si>
  <si>
    <t>Total annualized investment and O&amp;M cost of  collectors [€/year]</t>
  </si>
  <si>
    <t>Total annualized investment cost of collectors [€/year]</t>
  </si>
  <si>
    <t>Building Level Total Design Cooling Requiremnts (kW)</t>
  </si>
  <si>
    <t>Specific cost of  DE absorption chillers [€/kW]</t>
  </si>
  <si>
    <t>Investment cost of DE absorption chillers  [€]</t>
  </si>
  <si>
    <t>Total annualized investment cost of of DE absorption chillers  [€/year]</t>
  </si>
  <si>
    <t>Total annualized O&amp;M cost of of DE absorption chillers [€/year]</t>
  </si>
  <si>
    <t>Total annualized investment and O&amp;M cost of  of DE absorption chillers [€/year]</t>
  </si>
  <si>
    <t>O&amp;M cost of DE absorption chillers [€]</t>
  </si>
  <si>
    <t>Specific cost of  Water-cooled VCC [€/kW]</t>
  </si>
  <si>
    <t>Investment cost of Water-cooled VCC  [€]</t>
  </si>
  <si>
    <t>O&amp;M cost of Water-cooled VCC [€]</t>
  </si>
  <si>
    <t>Total annualized investment cost of of Water-cooled VCC  [€/year]</t>
  </si>
  <si>
    <t>Total annualized O&amp;M cost of of Water-cooled VCC [€/year]</t>
  </si>
  <si>
    <t>Total annualized investment and O&amp;M cost of  of Water-cooled VCC [€/year]</t>
  </si>
  <si>
    <t xml:space="preserve">ESCOOLout  (kWh/ year (summer)) </t>
  </si>
  <si>
    <t>Specific cost of  PV panels [€/m2]</t>
  </si>
  <si>
    <t>Total annualized O&amp;M cost of PV panels [€/year]</t>
  </si>
  <si>
    <t>Total LCC (AW): Annualized investment and O&amp;M cost of  of Collectors &amp; DE absorption chillers [€/year]</t>
  </si>
  <si>
    <t>•DE absorption chillers with ETCs: Rooftops &amp; Façade</t>
  </si>
  <si>
    <t>•Water-cooled VCC and PV panels: Rooftops &amp; Façade</t>
  </si>
  <si>
    <t>LCC(AW)[€/year]</t>
  </si>
  <si>
    <t>LCOC [€/kWh/year(summer)]</t>
  </si>
  <si>
    <t>LCOC  [€/kWh/year(summer)]</t>
  </si>
  <si>
    <t>Scenarios Per Configuration and Key Design Features</t>
  </si>
  <si>
    <t>C.I</t>
  </si>
  <si>
    <t>C.II</t>
  </si>
  <si>
    <t>Rooftop use factor of 0.50</t>
  </si>
  <si>
    <t>Rooftop use factor of 0.6</t>
  </si>
  <si>
    <t>Rooftop use factor of 0.40 &amp;Overhang (tilt angel of 60)</t>
  </si>
  <si>
    <t>Rooftop use factor of 0.40 &amp;Overhang (tilt angel of 30)</t>
  </si>
  <si>
    <t>Rooftop use factor of 0.40 &amp;Overhang (tilt angel of 0)</t>
  </si>
  <si>
    <t>Rooftop use factor of 0.50 &amp;Overhang (tilt angel of 60)</t>
  </si>
  <si>
    <t>Rooftop use factor of 0.50 &amp;Overhang (tilt angel of 30)</t>
  </si>
  <si>
    <t>Rooftop use factor of 0.50 &amp;Overhang (tilt angel of 0)</t>
  </si>
  <si>
    <t>Rooftop use factor of 0.60 &amp;Overhang (tilt angel of 60)</t>
  </si>
  <si>
    <t>Rooftop use factor of 0.60 &amp;Overhang (tilt angel of 30)</t>
  </si>
  <si>
    <t>Rooftop use factor of 0.60 &amp;Overhang (tilt angel of 0)</t>
  </si>
  <si>
    <t>C.III</t>
  </si>
  <si>
    <t>Investment cost of  PV panels [€]</t>
  </si>
  <si>
    <t>Specific cost of solar mounting system [€/m2]</t>
  </si>
  <si>
    <t>Investment cost of solar mounting system [€]</t>
  </si>
  <si>
    <t>Total Investment cost of  PV panels and solar mounting system [€]</t>
  </si>
  <si>
    <t>O&amp;M cost of PV panels and solar mounting system [€]</t>
  </si>
  <si>
    <t>Total annualized investment cost of PV panels and solar mounting system[€/year]</t>
  </si>
  <si>
    <t>Total annualized investment and O&amp;M cost of  PV panels and solar mounting system [€/year]</t>
  </si>
  <si>
    <t>Total LCC (AW): Annualized investment and O&amp;M cost of  of PV panels system &amp; Water-cooled VCC [€/year]</t>
  </si>
  <si>
    <t>Total annualized investment and O&amp;M cost of  PV Panel system [€/year]</t>
  </si>
  <si>
    <t>Scenarios Per Configuration</t>
  </si>
  <si>
    <t xml:space="preserve">ESCOOLout  (kWh/summer season) (including losses) </t>
  </si>
  <si>
    <t xml:space="preserve">ESCOOLout  (kWh/summer season)(excluding losses) </t>
  </si>
  <si>
    <t>Note: Cells highlighted in yellow are the ones having solar fraction 1 or more (including losses)</t>
  </si>
  <si>
    <t>SF(including losses) Value</t>
  </si>
  <si>
    <t>DE chillers&amp;ETCs (C.I: 0.50 Roof-UF)</t>
  </si>
  <si>
    <t>DE chillers&amp;ETCs (C.I: 0.60 Roof-UF)</t>
  </si>
  <si>
    <t>DE chillers&amp;ETCs (C.II: 0.50 Roof-UF)</t>
  </si>
  <si>
    <t>DE chillers&amp;ETCs (C.II: 0.60 Roof-UF)</t>
  </si>
  <si>
    <t>DE chillers&amp;ETCs (C.III: 0.40 Roof-UF)</t>
  </si>
  <si>
    <t>DE chillers&amp;ETCs (C.III: 0.50 Roof-UF)</t>
  </si>
  <si>
    <t>DE chillers&amp;ETCs (C.III: 0.60 Roof-UF)</t>
  </si>
  <si>
    <t>VCC&amp;PV (C.III: 0.60 Roof-UF)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</si>
</sst>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20"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color rgb="FF0070C0"/>
      <name val="Calibri"/>
      <family val="2"/>
      <scheme val="minor"/>
    </font>
    <font>
      <b/>
      <sz val="11"/>
      <name val="Calibri"/>
      <family val="2"/>
      <scheme val="minor"/>
    </font>
    <font>
      <b/>
      <sz val="11"/>
      <color theme="5" tint="-0.249977111117893"/>
      <name val="Calibri"/>
      <family val="2"/>
      <scheme val="minor"/>
    </font>
    <font>
      <b/>
      <sz val="11"/>
      <color rgb="FFFF0000"/>
      <name val="Calibri"/>
      <family val="2"/>
      <scheme val="minor"/>
    </font>
    <font>
      <b/>
      <sz val="18"/>
      <color rgb="FF0070C0"/>
      <name val="Calibri"/>
      <family val="2"/>
      <scheme val="minor"/>
    </font>
    <font>
      <b/>
      <sz val="11"/>
      <name val="Calibri"/>
      <family val="2"/>
    </font>
    <font>
      <b/>
      <sz val="11"/>
      <color theme="1"/>
      <name val="Calibri"/>
      <family val="2"/>
    </font>
    <font>
      <b/>
      <sz val="11"/>
      <color rgb="FF7030A0"/>
      <name val="Calibri"/>
      <family val="2"/>
      <scheme val="minor"/>
    </font>
    <font>
      <sz val="11"/>
      <color rgb="FF0070C0"/>
      <name val="Calibri"/>
      <family val="2"/>
      <scheme val="minor"/>
    </font>
    <font>
      <b/>
      <sz val="11"/>
      <color theme="7" tint="-0.249977111117893"/>
      <name val="Calibri"/>
      <family val="2"/>
      <scheme val="minor"/>
    </font>
    <font>
      <b/>
      <sz val="22"/>
      <color theme="1"/>
      <name val="Calibri"/>
      <family val="2"/>
      <scheme val="minor"/>
    </font>
    <font>
      <sz val="11"/>
      <color theme="8" tint="-0.249977111117893"/>
      <name val="Calibri"/>
      <family val="2"/>
      <scheme val="minor"/>
    </font>
    <font>
      <sz val="8"/>
      <name val="Calibri"/>
      <family val="2"/>
      <scheme val="minor"/>
    </font>
    <font>
      <sz val="11"/>
      <color theme="9" tint="-0.249977111117893"/>
      <name val="Calibri"/>
      <family val="2"/>
      <scheme val="minor"/>
    </font>
    <font>
      <sz val="11"/>
      <color rgb="FF00B0F0"/>
      <name val="Calibri"/>
      <family val="2"/>
      <scheme val="minor"/>
    </font>
    <font>
      <sz val="11"/>
      <color rgb="FF7030A0"/>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00B0F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0070C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s>
  <cellStyleXfs count="1">
    <xf numFmtId="0" fontId="0" fillId="0" borderId="0"/>
  </cellStyleXfs>
  <cellXfs count="275">
    <xf numFmtId="0" fontId="0" fillId="0" borderId="0" xfId="0"/>
    <xf numFmtId="0" fontId="0" fillId="0" borderId="0" xfId="0" applyAlignment="1">
      <alignment horizontal="center"/>
    </xf>
    <xf numFmtId="2" fontId="7" fillId="4" borderId="1" xfId="0" applyNumberFormat="1" applyFont="1" applyFill="1" applyBorder="1" applyAlignment="1">
      <alignment horizontal="center"/>
    </xf>
    <xf numFmtId="0" fontId="0" fillId="0" borderId="0" xfId="0" applyAlignment="1">
      <alignment horizontal="center" vertical="center"/>
    </xf>
    <xf numFmtId="0" fontId="2" fillId="0" borderId="0" xfId="0" applyFont="1" applyAlignment="1">
      <alignment horizontal="center"/>
    </xf>
    <xf numFmtId="0" fontId="1" fillId="0" borderId="0" xfId="0" applyFont="1"/>
    <xf numFmtId="0" fontId="2" fillId="8" borderId="1" xfId="0" applyFont="1" applyFill="1" applyBorder="1" applyAlignment="1">
      <alignment horizontal="center" vertical="center"/>
    </xf>
    <xf numFmtId="0" fontId="0" fillId="8" borderId="1" xfId="0" applyFill="1" applyBorder="1" applyAlignment="1">
      <alignment horizontal="center" vertical="center"/>
    </xf>
    <xf numFmtId="2" fontId="0" fillId="8" borderId="1" xfId="0" applyNumberFormat="1" applyFill="1" applyBorder="1" applyAlignment="1">
      <alignment horizontal="center" vertical="center"/>
    </xf>
    <xf numFmtId="0" fontId="0" fillId="7" borderId="1" xfId="0" applyFill="1" applyBorder="1" applyAlignment="1">
      <alignment horizontal="center" vertical="center"/>
    </xf>
    <xf numFmtId="0" fontId="7" fillId="8" borderId="1" xfId="0" applyFont="1" applyFill="1" applyBorder="1" applyAlignment="1">
      <alignment horizontal="center" vertical="center"/>
    </xf>
    <xf numFmtId="0" fontId="7" fillId="8" borderId="1" xfId="0" applyFont="1" applyFill="1" applyBorder="1" applyAlignment="1">
      <alignment vertical="center"/>
    </xf>
    <xf numFmtId="2" fontId="0" fillId="0" borderId="0" xfId="0" applyNumberFormat="1" applyAlignment="1">
      <alignment horizontal="center" vertical="center"/>
    </xf>
    <xf numFmtId="2" fontId="4" fillId="0" borderId="0" xfId="0" applyNumberFormat="1" applyFont="1" applyAlignment="1">
      <alignment horizontal="center" vertical="center"/>
    </xf>
    <xf numFmtId="4" fontId="7" fillId="8" borderId="1" xfId="0" applyNumberFormat="1" applyFont="1" applyFill="1" applyBorder="1" applyAlignment="1">
      <alignment horizontal="center" vertical="center"/>
    </xf>
    <xf numFmtId="2" fontId="7" fillId="8" borderId="1" xfId="0" applyNumberFormat="1" applyFont="1" applyFill="1" applyBorder="1" applyAlignment="1">
      <alignment horizontal="center" vertical="center"/>
    </xf>
    <xf numFmtId="0" fontId="0" fillId="8" borderId="1" xfId="0" applyFill="1" applyBorder="1" applyAlignment="1">
      <alignment horizontal="center"/>
    </xf>
    <xf numFmtId="0" fontId="0" fillId="10" borderId="1" xfId="0" applyFill="1" applyBorder="1" applyAlignment="1">
      <alignment horizontal="center" vertical="center"/>
    </xf>
    <xf numFmtId="0" fontId="2" fillId="9" borderId="1" xfId="0" applyFont="1" applyFill="1" applyBorder="1" applyAlignment="1">
      <alignment horizontal="center" vertical="center"/>
    </xf>
    <xf numFmtId="2" fontId="7" fillId="10" borderId="1" xfId="0" applyNumberFormat="1" applyFont="1" applyFill="1" applyBorder="1" applyAlignment="1">
      <alignment horizontal="center" vertical="center"/>
    </xf>
    <xf numFmtId="0" fontId="0" fillId="10" borderId="5" xfId="0" applyFill="1" applyBorder="1" applyAlignment="1">
      <alignment horizontal="center" vertical="center"/>
    </xf>
    <xf numFmtId="2" fontId="7" fillId="8" borderId="1" xfId="0" applyNumberFormat="1" applyFont="1" applyFill="1" applyBorder="1" applyAlignment="1">
      <alignment horizontal="center"/>
    </xf>
    <xf numFmtId="2" fontId="7" fillId="10" borderId="1" xfId="0" applyNumberFormat="1" applyFont="1" applyFill="1" applyBorder="1" applyAlignment="1">
      <alignment horizontal="center"/>
    </xf>
    <xf numFmtId="0" fontId="3" fillId="8" borderId="1" xfId="0" applyFont="1" applyFill="1" applyBorder="1" applyAlignment="1">
      <alignment horizontal="center" vertical="center"/>
    </xf>
    <xf numFmtId="2" fontId="3" fillId="8" borderId="1" xfId="0" applyNumberFormat="1" applyFont="1" applyFill="1" applyBorder="1" applyAlignment="1">
      <alignment horizontal="center" vertical="center"/>
    </xf>
    <xf numFmtId="0" fontId="3" fillId="8" borderId="1" xfId="0" applyFont="1" applyFill="1" applyBorder="1" applyAlignment="1">
      <alignment horizontal="center"/>
    </xf>
    <xf numFmtId="2" fontId="5" fillId="8" borderId="1" xfId="0" applyNumberFormat="1" applyFont="1" applyFill="1" applyBorder="1" applyAlignment="1">
      <alignment horizontal="center"/>
    </xf>
    <xf numFmtId="0" fontId="0" fillId="4" borderId="1" xfId="0" applyFill="1" applyBorder="1" applyAlignment="1">
      <alignment horizontal="center" vertical="center"/>
    </xf>
    <xf numFmtId="2" fontId="0" fillId="4" borderId="1" xfId="0" applyNumberFormat="1" applyFill="1" applyBorder="1" applyAlignment="1">
      <alignment horizontal="center" vertical="center"/>
    </xf>
    <xf numFmtId="2" fontId="7" fillId="4" borderId="1" xfId="0" applyNumberFormat="1" applyFont="1" applyFill="1" applyBorder="1" applyAlignment="1">
      <alignment horizontal="center" vertical="center"/>
    </xf>
    <xf numFmtId="0" fontId="0" fillId="4" borderId="1" xfId="0" applyFill="1" applyBorder="1" applyAlignment="1">
      <alignment horizontal="center"/>
    </xf>
    <xf numFmtId="0" fontId="3" fillId="10" borderId="1" xfId="0" applyFont="1" applyFill="1" applyBorder="1" applyAlignment="1">
      <alignment horizontal="center" vertical="center"/>
    </xf>
    <xf numFmtId="0" fontId="3" fillId="4" borderId="1" xfId="0" applyFont="1" applyFill="1" applyBorder="1" applyAlignment="1">
      <alignment horizontal="center" vertical="center"/>
    </xf>
    <xf numFmtId="2" fontId="11" fillId="4" borderId="1" xfId="0" applyNumberFormat="1" applyFont="1" applyFill="1" applyBorder="1" applyAlignment="1">
      <alignment horizontal="center" vertical="center"/>
    </xf>
    <xf numFmtId="2" fontId="11" fillId="8" borderId="1" xfId="0" applyNumberFormat="1" applyFont="1" applyFill="1" applyBorder="1" applyAlignment="1">
      <alignment horizontal="center" vertical="center"/>
    </xf>
    <xf numFmtId="2" fontId="5" fillId="4" borderId="1" xfId="0" applyNumberFormat="1" applyFont="1" applyFill="1" applyBorder="1" applyAlignment="1">
      <alignment horizontal="center" vertical="center"/>
    </xf>
    <xf numFmtId="2" fontId="5" fillId="8" borderId="1" xfId="0" applyNumberFormat="1" applyFont="1" applyFill="1" applyBorder="1" applyAlignment="1">
      <alignment horizontal="center" vertical="center"/>
    </xf>
    <xf numFmtId="0" fontId="3" fillId="10" borderId="1" xfId="0" applyFont="1" applyFill="1" applyBorder="1" applyAlignment="1">
      <alignment horizontal="center"/>
    </xf>
    <xf numFmtId="2" fontId="3" fillId="10" borderId="1" xfId="0" applyNumberFormat="1" applyFont="1" applyFill="1" applyBorder="1" applyAlignment="1">
      <alignment horizontal="center" vertical="center"/>
    </xf>
    <xf numFmtId="2" fontId="5" fillId="10" borderId="1" xfId="0" applyNumberFormat="1" applyFont="1" applyFill="1" applyBorder="1" applyAlignment="1">
      <alignment horizontal="center"/>
    </xf>
    <xf numFmtId="2" fontId="4" fillId="1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2" fontId="3" fillId="3" borderId="1" xfId="0" applyNumberFormat="1" applyFont="1" applyFill="1" applyBorder="1" applyAlignment="1">
      <alignment horizontal="center" vertical="center"/>
    </xf>
    <xf numFmtId="2" fontId="4" fillId="3" borderId="1" xfId="0" applyNumberFormat="1" applyFont="1" applyFill="1" applyBorder="1" applyAlignment="1">
      <alignment horizontal="center" vertical="center"/>
    </xf>
    <xf numFmtId="0" fontId="3" fillId="3" borderId="1" xfId="0" applyFont="1" applyFill="1" applyBorder="1" applyAlignment="1">
      <alignment horizontal="center"/>
    </xf>
    <xf numFmtId="2" fontId="7" fillId="3" borderId="1" xfId="0" applyNumberFormat="1" applyFont="1" applyFill="1" applyBorder="1" applyAlignment="1">
      <alignment horizontal="center"/>
    </xf>
    <xf numFmtId="0" fontId="3" fillId="5" borderId="1" xfId="0" applyFont="1" applyFill="1" applyBorder="1" applyAlignment="1">
      <alignment horizontal="center" vertical="center"/>
    </xf>
    <xf numFmtId="0" fontId="0" fillId="5" borderId="1" xfId="0" applyFill="1" applyBorder="1" applyAlignment="1">
      <alignment horizontal="center" vertical="center"/>
    </xf>
    <xf numFmtId="2" fontId="0" fillId="5" borderId="1" xfId="0" applyNumberFormat="1" applyFill="1" applyBorder="1" applyAlignment="1">
      <alignment horizontal="center" vertical="center"/>
    </xf>
    <xf numFmtId="0" fontId="0" fillId="5" borderId="1" xfId="0" applyFill="1" applyBorder="1" applyAlignment="1">
      <alignment horizontal="center"/>
    </xf>
    <xf numFmtId="0" fontId="7" fillId="5" borderId="1" xfId="0" applyFont="1" applyFill="1" applyBorder="1" applyAlignment="1">
      <alignment horizontal="center"/>
    </xf>
    <xf numFmtId="0" fontId="3" fillId="5" borderId="5" xfId="0" applyFont="1" applyFill="1" applyBorder="1" applyAlignment="1">
      <alignment horizontal="center" vertical="center"/>
    </xf>
    <xf numFmtId="2" fontId="7" fillId="5" borderId="1" xfId="0" applyNumberFormat="1" applyFont="1" applyFill="1" applyBorder="1" applyAlignment="1">
      <alignment horizontal="center" vertical="center"/>
    </xf>
    <xf numFmtId="0" fontId="0" fillId="11" borderId="1" xfId="0" applyFill="1" applyBorder="1" applyAlignment="1">
      <alignment horizontal="center" vertical="center"/>
    </xf>
    <xf numFmtId="0" fontId="7" fillId="11" borderId="1" xfId="0" applyFont="1" applyFill="1" applyBorder="1" applyAlignment="1">
      <alignment horizontal="center" vertical="center"/>
    </xf>
    <xf numFmtId="0" fontId="5" fillId="11" borderId="1" xfId="0" applyFont="1" applyFill="1" applyBorder="1" applyAlignment="1">
      <alignment horizontal="center"/>
    </xf>
    <xf numFmtId="0" fontId="2" fillId="11" borderId="1" xfId="0" applyFont="1" applyFill="1" applyBorder="1" applyAlignment="1">
      <alignment horizontal="center" vertical="center"/>
    </xf>
    <xf numFmtId="0" fontId="5" fillId="11" borderId="4" xfId="0" applyFont="1" applyFill="1" applyBorder="1" applyAlignment="1">
      <alignment horizontal="center"/>
    </xf>
    <xf numFmtId="0" fontId="5" fillId="11" borderId="5" xfId="0" applyFont="1" applyFill="1" applyBorder="1"/>
    <xf numFmtId="4" fontId="0" fillId="0" borderId="0" xfId="0" applyNumberFormat="1"/>
    <xf numFmtId="0" fontId="2" fillId="12" borderId="1" xfId="0" applyFont="1" applyFill="1" applyBorder="1" applyAlignment="1">
      <alignment horizontal="center" vertical="center"/>
    </xf>
    <xf numFmtId="0" fontId="5" fillId="12" borderId="1" xfId="0" applyFont="1" applyFill="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5" fillId="9" borderId="1" xfId="0" applyFont="1" applyFill="1" applyBorder="1" applyAlignment="1">
      <alignment horizontal="center" vertical="center"/>
    </xf>
    <xf numFmtId="2" fontId="3" fillId="5" borderId="1" xfId="0" applyNumberFormat="1" applyFont="1" applyFill="1" applyBorder="1" applyAlignment="1">
      <alignment horizontal="center" vertical="center"/>
    </xf>
    <xf numFmtId="2" fontId="3" fillId="4"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xf>
    <xf numFmtId="0" fontId="2" fillId="9" borderId="2" xfId="0" applyFont="1" applyFill="1" applyBorder="1" applyAlignment="1">
      <alignment horizontal="center" vertical="center"/>
    </xf>
    <xf numFmtId="2" fontId="4" fillId="2" borderId="1" xfId="0" applyNumberFormat="1" applyFont="1" applyFill="1" applyBorder="1" applyAlignment="1">
      <alignment horizontal="center" vertical="center"/>
    </xf>
    <xf numFmtId="0" fontId="4" fillId="5" borderId="1" xfId="0" applyFont="1" applyFill="1" applyBorder="1" applyAlignment="1">
      <alignment horizontal="center"/>
    </xf>
    <xf numFmtId="2" fontId="4" fillId="5" borderId="1" xfId="0" applyNumberFormat="1" applyFont="1" applyFill="1" applyBorder="1" applyAlignment="1">
      <alignment horizontal="center" vertical="center"/>
    </xf>
    <xf numFmtId="2" fontId="4" fillId="4" borderId="1" xfId="0" applyNumberFormat="1" applyFont="1" applyFill="1" applyBorder="1" applyAlignment="1">
      <alignment horizontal="center"/>
    </xf>
    <xf numFmtId="2" fontId="4" fillId="8" borderId="1" xfId="0" applyNumberFormat="1" applyFont="1" applyFill="1" applyBorder="1" applyAlignment="1">
      <alignment horizontal="center"/>
    </xf>
    <xf numFmtId="2" fontId="4" fillId="2" borderId="1" xfId="0" applyNumberFormat="1" applyFont="1" applyFill="1" applyBorder="1" applyAlignment="1">
      <alignment horizontal="center"/>
    </xf>
    <xf numFmtId="2" fontId="4" fillId="3" borderId="1" xfId="0" applyNumberFormat="1" applyFont="1" applyFill="1" applyBorder="1" applyAlignment="1">
      <alignment horizontal="center"/>
    </xf>
    <xf numFmtId="2" fontId="4" fillId="10" borderId="1" xfId="0" applyNumberFormat="1" applyFont="1" applyFill="1" applyBorder="1" applyAlignment="1">
      <alignment horizontal="center"/>
    </xf>
    <xf numFmtId="0" fontId="11" fillId="2" borderId="1" xfId="0" applyFont="1" applyFill="1" applyBorder="1" applyAlignment="1">
      <alignment vertical="center"/>
    </xf>
    <xf numFmtId="2" fontId="4" fillId="4" borderId="1" xfId="0" applyNumberFormat="1" applyFont="1" applyFill="1" applyBorder="1" applyAlignment="1">
      <alignment horizontal="center" vertical="center"/>
    </xf>
    <xf numFmtId="2" fontId="4" fillId="8" borderId="1" xfId="0" applyNumberFormat="1" applyFont="1" applyFill="1" applyBorder="1" applyAlignment="1">
      <alignment horizontal="center" vertical="center"/>
    </xf>
    <xf numFmtId="2" fontId="7" fillId="2" borderId="1" xfId="0" applyNumberFormat="1" applyFont="1" applyFill="1" applyBorder="1" applyAlignment="1">
      <alignment horizontal="center" vertical="center"/>
    </xf>
    <xf numFmtId="0" fontId="12" fillId="0" borderId="0" xfId="0" applyFont="1"/>
    <xf numFmtId="2" fontId="7" fillId="3" borderId="1" xfId="0" applyNumberFormat="1" applyFont="1" applyFill="1" applyBorder="1" applyAlignment="1">
      <alignment horizontal="center" vertical="center"/>
    </xf>
    <xf numFmtId="2" fontId="11" fillId="10" borderId="1" xfId="0" applyNumberFormat="1" applyFont="1" applyFill="1" applyBorder="1" applyAlignment="1">
      <alignment horizontal="center" vertical="center"/>
    </xf>
    <xf numFmtId="2" fontId="11" fillId="0" borderId="1" xfId="0" applyNumberFormat="1" applyFont="1" applyBorder="1" applyAlignment="1">
      <alignment horizontal="center" vertical="center"/>
    </xf>
    <xf numFmtId="2" fontId="11" fillId="3" borderId="1" xfId="0" applyNumberFormat="1" applyFont="1" applyFill="1" applyBorder="1" applyAlignment="1">
      <alignment horizontal="center" vertical="center"/>
    </xf>
    <xf numFmtId="0" fontId="11" fillId="0" borderId="0" xfId="0" applyFont="1" applyAlignment="1">
      <alignment vertical="center"/>
    </xf>
    <xf numFmtId="0" fontId="11" fillId="0" borderId="0" xfId="0" applyFont="1" applyAlignment="1">
      <alignment horizontal="center" vertical="center"/>
    </xf>
    <xf numFmtId="2" fontId="7"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2" fontId="11" fillId="5" borderId="1" xfId="0" applyNumberFormat="1" applyFont="1" applyFill="1" applyBorder="1" applyAlignment="1">
      <alignment horizontal="center" vertical="center"/>
    </xf>
    <xf numFmtId="0" fontId="7" fillId="12" borderId="1" xfId="0" applyFont="1" applyFill="1" applyBorder="1" applyAlignment="1">
      <alignment horizontal="center" vertical="center"/>
    </xf>
    <xf numFmtId="0" fontId="5" fillId="12" borderId="5" xfId="0" applyFont="1" applyFill="1" applyBorder="1" applyAlignment="1">
      <alignment horizontal="center" vertical="center"/>
    </xf>
    <xf numFmtId="2" fontId="13" fillId="10" borderId="1" xfId="0" applyNumberFormat="1" applyFont="1" applyFill="1" applyBorder="1" applyAlignment="1">
      <alignment horizontal="center" vertical="center"/>
    </xf>
    <xf numFmtId="0" fontId="13" fillId="5" borderId="1" xfId="0" applyFont="1" applyFill="1" applyBorder="1" applyAlignment="1">
      <alignment horizontal="center"/>
    </xf>
    <xf numFmtId="2" fontId="13" fillId="5" borderId="1" xfId="0" applyNumberFormat="1" applyFont="1" applyFill="1" applyBorder="1" applyAlignment="1">
      <alignment horizontal="center" vertical="center"/>
    </xf>
    <xf numFmtId="2" fontId="13" fillId="2" borderId="1" xfId="0" applyNumberFormat="1" applyFont="1" applyFill="1" applyBorder="1" applyAlignment="1">
      <alignment horizontal="center" vertical="center"/>
    </xf>
    <xf numFmtId="2" fontId="13" fillId="8" borderId="1" xfId="0" applyNumberFormat="1" applyFont="1" applyFill="1" applyBorder="1" applyAlignment="1">
      <alignment horizontal="center"/>
    </xf>
    <xf numFmtId="2" fontId="13" fillId="4" borderId="1" xfId="0" applyNumberFormat="1" applyFont="1" applyFill="1" applyBorder="1" applyAlignment="1">
      <alignment horizontal="center" vertical="center"/>
    </xf>
    <xf numFmtId="2" fontId="13" fillId="4" borderId="1" xfId="0" applyNumberFormat="1" applyFont="1" applyFill="1" applyBorder="1" applyAlignment="1">
      <alignment horizontal="center"/>
    </xf>
    <xf numFmtId="2" fontId="13" fillId="8" borderId="1" xfId="0" applyNumberFormat="1" applyFont="1" applyFill="1" applyBorder="1" applyAlignment="1">
      <alignment horizontal="center" vertical="center"/>
    </xf>
    <xf numFmtId="2" fontId="13" fillId="2" borderId="1" xfId="0" applyNumberFormat="1" applyFont="1" applyFill="1" applyBorder="1" applyAlignment="1">
      <alignment horizontal="center"/>
    </xf>
    <xf numFmtId="2" fontId="13" fillId="10" borderId="1" xfId="0" applyNumberFormat="1" applyFont="1" applyFill="1" applyBorder="1" applyAlignment="1">
      <alignment horizontal="center"/>
    </xf>
    <xf numFmtId="2" fontId="13" fillId="3" borderId="1" xfId="0" applyNumberFormat="1" applyFont="1" applyFill="1" applyBorder="1" applyAlignment="1">
      <alignment horizontal="center" vertical="center"/>
    </xf>
    <xf numFmtId="2" fontId="13" fillId="3" borderId="1" xfId="0" applyNumberFormat="1" applyFont="1" applyFill="1" applyBorder="1" applyAlignment="1">
      <alignment horizontal="center"/>
    </xf>
    <xf numFmtId="2" fontId="2" fillId="10" borderId="1"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xf numFmtId="2" fontId="2" fillId="5" borderId="1" xfId="0" applyNumberFormat="1" applyFont="1" applyFill="1" applyBorder="1" applyAlignment="1">
      <alignment horizontal="center"/>
    </xf>
    <xf numFmtId="2" fontId="2" fillId="5" borderId="1" xfId="0" applyNumberFormat="1" applyFont="1" applyFill="1" applyBorder="1" applyAlignment="1">
      <alignment horizontal="center" vertical="center"/>
    </xf>
    <xf numFmtId="2" fontId="2" fillId="4" borderId="1" xfId="0" applyNumberFormat="1" applyFont="1" applyFill="1" applyBorder="1" applyAlignment="1">
      <alignment horizontal="center" vertical="center"/>
    </xf>
    <xf numFmtId="2" fontId="2" fillId="4" borderId="1" xfId="0" applyNumberFormat="1" applyFont="1" applyFill="1" applyBorder="1" applyAlignment="1">
      <alignment horizontal="center"/>
    </xf>
    <xf numFmtId="2" fontId="2" fillId="8" borderId="1" xfId="0" applyNumberFormat="1" applyFont="1" applyFill="1" applyBorder="1" applyAlignment="1">
      <alignment horizontal="center" vertical="center"/>
    </xf>
    <xf numFmtId="2" fontId="2" fillId="8" borderId="1" xfId="0" applyNumberFormat="1" applyFont="1" applyFill="1" applyBorder="1" applyAlignment="1">
      <alignment horizontal="center"/>
    </xf>
    <xf numFmtId="2" fontId="5" fillId="3" borderId="1" xfId="0" applyNumberFormat="1" applyFont="1" applyFill="1" applyBorder="1" applyAlignment="1">
      <alignment horizontal="center" vertical="center"/>
    </xf>
    <xf numFmtId="2" fontId="5" fillId="3" borderId="1" xfId="0" applyNumberFormat="1" applyFont="1" applyFill="1" applyBorder="1" applyAlignment="1">
      <alignment horizontal="center"/>
    </xf>
    <xf numFmtId="2" fontId="5" fillId="10" borderId="1" xfId="0" applyNumberFormat="1" applyFont="1" applyFill="1" applyBorder="1" applyAlignment="1">
      <alignment horizontal="center" vertical="center"/>
    </xf>
    <xf numFmtId="2" fontId="2" fillId="2" borderId="1" xfId="0" applyNumberFormat="1" applyFont="1" applyFill="1" applyBorder="1" applyAlignment="1">
      <alignment horizontal="center"/>
    </xf>
    <xf numFmtId="2" fontId="5" fillId="2" borderId="1" xfId="0" applyNumberFormat="1" applyFont="1" applyFill="1" applyBorder="1" applyAlignment="1">
      <alignment horizontal="center"/>
    </xf>
    <xf numFmtId="0" fontId="11" fillId="2" borderId="4" xfId="0" applyFont="1" applyFill="1" applyBorder="1" applyAlignment="1">
      <alignment vertical="center"/>
    </xf>
    <xf numFmtId="0" fontId="5" fillId="5" borderId="1" xfId="0" applyFont="1" applyFill="1" applyBorder="1" applyAlignment="1">
      <alignment horizontal="center"/>
    </xf>
    <xf numFmtId="2" fontId="5" fillId="5" borderId="1" xfId="0" applyNumberFormat="1" applyFont="1" applyFill="1" applyBorder="1" applyAlignment="1">
      <alignment horizontal="center" vertical="center"/>
    </xf>
    <xf numFmtId="2" fontId="5" fillId="2" borderId="1" xfId="0" applyNumberFormat="1" applyFont="1" applyFill="1" applyBorder="1" applyAlignment="1">
      <alignment horizontal="center" vertical="center"/>
    </xf>
    <xf numFmtId="0" fontId="0" fillId="0" borderId="1" xfId="0" applyBorder="1" applyAlignment="1">
      <alignment horizontal="center"/>
    </xf>
    <xf numFmtId="0" fontId="0" fillId="0" borderId="3" xfId="0" applyBorder="1" applyAlignment="1">
      <alignment horizontal="center"/>
    </xf>
    <xf numFmtId="164" fontId="7" fillId="10" borderId="1" xfId="0" applyNumberFormat="1" applyFont="1" applyFill="1" applyBorder="1" applyAlignment="1">
      <alignment horizontal="center" vertical="center"/>
    </xf>
    <xf numFmtId="164" fontId="7" fillId="2" borderId="1" xfId="0" applyNumberFormat="1" applyFont="1" applyFill="1" applyBorder="1" applyAlignment="1">
      <alignment horizontal="center" vertical="center"/>
    </xf>
    <xf numFmtId="164" fontId="7" fillId="0" borderId="1" xfId="0" applyNumberFormat="1" applyFont="1" applyBorder="1" applyAlignment="1">
      <alignment horizontal="center" vertical="center"/>
    </xf>
    <xf numFmtId="164" fontId="7" fillId="8"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7" fillId="3" borderId="1" xfId="0" applyNumberFormat="1" applyFont="1" applyFill="1" applyBorder="1" applyAlignment="1">
      <alignment horizontal="center" vertical="center"/>
    </xf>
    <xf numFmtId="164" fontId="7" fillId="5" borderId="1" xfId="0" applyNumberFormat="1" applyFont="1" applyFill="1" applyBorder="1" applyAlignment="1">
      <alignment horizontal="center" vertical="center"/>
    </xf>
    <xf numFmtId="0" fontId="15" fillId="0" borderId="1" xfId="0" applyFont="1" applyBorder="1"/>
    <xf numFmtId="0" fontId="17" fillId="0" borderId="1" xfId="0" applyFont="1" applyBorder="1"/>
    <xf numFmtId="2" fontId="15" fillId="0" borderId="1" xfId="0" applyNumberFormat="1" applyFont="1" applyBorder="1" applyAlignment="1">
      <alignment horizontal="center" vertical="center"/>
    </xf>
    <xf numFmtId="164" fontId="15" fillId="0" borderId="1" xfId="0" applyNumberFormat="1" applyFont="1" applyBorder="1" applyAlignment="1">
      <alignment horizontal="center" vertical="center"/>
    </xf>
    <xf numFmtId="2" fontId="17" fillId="0" borderId="1" xfId="0" applyNumberFormat="1" applyFont="1" applyBorder="1" applyAlignment="1">
      <alignment horizontal="center" vertical="center"/>
    </xf>
    <xf numFmtId="164" fontId="17" fillId="0" borderId="1" xfId="0" applyNumberFormat="1" applyFont="1" applyBorder="1" applyAlignment="1">
      <alignment horizontal="center" vertical="center"/>
    </xf>
    <xf numFmtId="0" fontId="18" fillId="0" borderId="1" xfId="0" applyFont="1" applyBorder="1"/>
    <xf numFmtId="164" fontId="18" fillId="0" borderId="1" xfId="0" applyNumberFormat="1" applyFont="1" applyBorder="1" applyAlignment="1">
      <alignment horizontal="center" vertical="center"/>
    </xf>
    <xf numFmtId="2" fontId="18" fillId="0" borderId="1" xfId="0" applyNumberFormat="1" applyFont="1" applyBorder="1" applyAlignment="1">
      <alignment horizontal="center" vertical="center"/>
    </xf>
    <xf numFmtId="0" fontId="19" fillId="0" borderId="1" xfId="0" applyFont="1" applyBorder="1"/>
    <xf numFmtId="2" fontId="19" fillId="0" borderId="1" xfId="0" applyNumberFormat="1" applyFont="1" applyBorder="1" applyAlignment="1">
      <alignment horizontal="center" vertical="center"/>
    </xf>
    <xf numFmtId="164" fontId="19" fillId="0" borderId="1" xfId="0" applyNumberFormat="1" applyFont="1" applyBorder="1" applyAlignment="1">
      <alignment horizontal="center" vertical="center"/>
    </xf>
    <xf numFmtId="2" fontId="11" fillId="4" borderId="1" xfId="0" applyNumberFormat="1" applyFont="1" applyFill="1" applyBorder="1" applyAlignment="1">
      <alignment horizontal="center"/>
    </xf>
    <xf numFmtId="2" fontId="11" fillId="8" borderId="1" xfId="0" applyNumberFormat="1" applyFont="1" applyFill="1" applyBorder="1" applyAlignment="1">
      <alignment horizontal="center"/>
    </xf>
    <xf numFmtId="2" fontId="5" fillId="4" borderId="1" xfId="0" applyNumberFormat="1" applyFont="1" applyFill="1" applyBorder="1" applyAlignment="1">
      <alignment horizontal="center"/>
    </xf>
    <xf numFmtId="2" fontId="11" fillId="10" borderId="1" xfId="0" applyNumberFormat="1" applyFont="1" applyFill="1" applyBorder="1" applyAlignment="1">
      <alignment horizontal="center"/>
    </xf>
    <xf numFmtId="2" fontId="11" fillId="3" borderId="1" xfId="0" applyNumberFormat="1" applyFont="1" applyFill="1" applyBorder="1" applyAlignment="1">
      <alignment horizontal="center"/>
    </xf>
    <xf numFmtId="2" fontId="13" fillId="0" borderId="1" xfId="0" applyNumberFormat="1" applyFont="1" applyBorder="1" applyAlignment="1">
      <alignment horizontal="center" vertical="center"/>
    </xf>
    <xf numFmtId="165" fontId="15" fillId="0" borderId="1" xfId="0" applyNumberFormat="1" applyFont="1" applyBorder="1" applyAlignment="1">
      <alignment horizontal="center" vertical="center"/>
    </xf>
    <xf numFmtId="165" fontId="17" fillId="0" borderId="1" xfId="0" applyNumberFormat="1" applyFont="1" applyBorder="1" applyAlignment="1">
      <alignment horizontal="center" vertical="center"/>
    </xf>
    <xf numFmtId="165" fontId="18" fillId="0" borderId="1" xfId="0" applyNumberFormat="1" applyFont="1" applyBorder="1" applyAlignment="1">
      <alignment horizontal="center" vertical="center"/>
    </xf>
    <xf numFmtId="165" fontId="19" fillId="0" borderId="1" xfId="0" applyNumberFormat="1" applyFont="1" applyBorder="1" applyAlignment="1">
      <alignment horizontal="center" vertical="center"/>
    </xf>
    <xf numFmtId="164" fontId="15" fillId="2" borderId="1" xfId="0" applyNumberFormat="1" applyFont="1" applyFill="1" applyBorder="1" applyAlignment="1">
      <alignment horizontal="center" vertical="center"/>
    </xf>
    <xf numFmtId="164" fontId="17" fillId="2" borderId="1" xfId="0" applyNumberFormat="1" applyFont="1" applyFill="1" applyBorder="1" applyAlignment="1">
      <alignment horizontal="center" vertical="center"/>
    </xf>
    <xf numFmtId="164" fontId="18" fillId="2" borderId="1" xfId="0" applyNumberFormat="1" applyFont="1" applyFill="1" applyBorder="1" applyAlignment="1">
      <alignment horizontal="center" vertical="center"/>
    </xf>
    <xf numFmtId="164" fontId="19" fillId="2" borderId="1" xfId="0" applyNumberFormat="1" applyFont="1" applyFill="1" applyBorder="1" applyAlignment="1">
      <alignment horizontal="center" vertical="center"/>
    </xf>
    <xf numFmtId="0" fontId="15" fillId="0" borderId="0" xfId="0" applyFont="1" applyAlignment="1">
      <alignment vertical="center"/>
    </xf>
    <xf numFmtId="0" fontId="15" fillId="0" borderId="0" xfId="0" applyFont="1"/>
    <xf numFmtId="165" fontId="15" fillId="0" borderId="0" xfId="0" applyNumberFormat="1" applyFont="1" applyAlignment="1">
      <alignment horizontal="center" vertical="center"/>
    </xf>
    <xf numFmtId="2" fontId="15" fillId="0" borderId="0" xfId="0" applyNumberFormat="1" applyFont="1" applyAlignment="1">
      <alignment horizontal="center" vertical="center"/>
    </xf>
    <xf numFmtId="164" fontId="15" fillId="0" borderId="0" xfId="0" applyNumberFormat="1" applyFont="1" applyAlignment="1">
      <alignment horizontal="center" vertical="center"/>
    </xf>
    <xf numFmtId="0" fontId="17" fillId="0" borderId="0" xfId="0" applyFont="1" applyAlignment="1">
      <alignment vertical="center"/>
    </xf>
    <xf numFmtId="0" fontId="17" fillId="0" borderId="0" xfId="0" applyFont="1"/>
    <xf numFmtId="165" fontId="17" fillId="0" borderId="0" xfId="0" applyNumberFormat="1" applyFont="1" applyAlignment="1">
      <alignment horizontal="center" vertical="center"/>
    </xf>
    <xf numFmtId="2" fontId="17" fillId="0" borderId="0" xfId="0" applyNumberFormat="1" applyFont="1" applyAlignment="1">
      <alignment horizontal="center" vertical="center"/>
    </xf>
    <xf numFmtId="164" fontId="17" fillId="0" borderId="0" xfId="0" applyNumberFormat="1" applyFont="1" applyAlignment="1">
      <alignment horizontal="center" vertical="center"/>
    </xf>
    <xf numFmtId="0" fontId="18" fillId="0" borderId="0" xfId="0" applyFont="1" applyAlignment="1">
      <alignment vertical="center"/>
    </xf>
    <xf numFmtId="0" fontId="18" fillId="0" borderId="0" xfId="0" applyFont="1"/>
    <xf numFmtId="165" fontId="18" fillId="0" borderId="0" xfId="0" applyNumberFormat="1" applyFont="1" applyAlignment="1">
      <alignment horizontal="center" vertical="center"/>
    </xf>
    <xf numFmtId="2" fontId="18" fillId="0" borderId="0" xfId="0" applyNumberFormat="1" applyFont="1" applyAlignment="1">
      <alignment horizontal="center" vertical="center"/>
    </xf>
    <xf numFmtId="164" fontId="18" fillId="0" borderId="0" xfId="0" applyNumberFormat="1" applyFont="1" applyAlignment="1">
      <alignment horizontal="center" vertical="center"/>
    </xf>
    <xf numFmtId="0" fontId="19" fillId="0" borderId="0" xfId="0" applyFont="1" applyAlignment="1">
      <alignment vertical="center"/>
    </xf>
    <xf numFmtId="0" fontId="19" fillId="0" borderId="0" xfId="0" applyFont="1"/>
    <xf numFmtId="165" fontId="19" fillId="0" borderId="0" xfId="0" applyNumberFormat="1" applyFont="1" applyAlignment="1">
      <alignment horizontal="center" vertical="center"/>
    </xf>
    <xf numFmtId="2" fontId="19" fillId="0" borderId="0" xfId="0" applyNumberFormat="1" applyFont="1" applyAlignment="1">
      <alignment horizontal="center" vertical="center"/>
    </xf>
    <xf numFmtId="164" fontId="19" fillId="0" borderId="0" xfId="0" applyNumberFormat="1" applyFont="1" applyAlignment="1">
      <alignment horizontal="center" vertical="center"/>
    </xf>
    <xf numFmtId="0" fontId="0" fillId="0" borderId="1" xfId="0" applyBorder="1"/>
    <xf numFmtId="0" fontId="8"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2" fillId="8" borderId="1" xfId="0" applyFont="1" applyFill="1" applyBorder="1" applyAlignment="1">
      <alignment horizontal="center"/>
    </xf>
    <xf numFmtId="0" fontId="2" fillId="8" borderId="1" xfId="0" applyFont="1" applyFill="1" applyBorder="1" applyAlignment="1">
      <alignment horizontal="center" vertical="center"/>
    </xf>
    <xf numFmtId="0" fontId="2" fillId="8" borderId="4" xfId="0" applyFont="1" applyFill="1" applyBorder="1" applyAlignment="1">
      <alignment horizontal="center" vertical="center"/>
    </xf>
    <xf numFmtId="0" fontId="2" fillId="8" borderId="13" xfId="0" applyFont="1" applyFill="1" applyBorder="1" applyAlignment="1">
      <alignment horizontal="center" vertical="center"/>
    </xf>
    <xf numFmtId="0" fontId="2" fillId="8" borderId="5" xfId="0" applyFont="1" applyFill="1" applyBorder="1" applyAlignment="1">
      <alignment horizontal="center" vertical="center"/>
    </xf>
    <xf numFmtId="0" fontId="0" fillId="11" borderId="1" xfId="0" applyFill="1" applyBorder="1" applyAlignment="1">
      <alignment horizontal="center"/>
    </xf>
    <xf numFmtId="0" fontId="0" fillId="11" borderId="1" xfId="0" applyFill="1" applyBorder="1" applyAlignment="1">
      <alignment horizontal="center" vertical="center"/>
    </xf>
    <xf numFmtId="0" fontId="8"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3" fillId="7" borderId="1"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xf>
    <xf numFmtId="0" fontId="2" fillId="11" borderId="1" xfId="0" applyFont="1" applyFill="1" applyBorder="1" applyAlignment="1">
      <alignment horizontal="center"/>
    </xf>
    <xf numFmtId="0" fontId="2" fillId="9" borderId="2" xfId="0" applyFont="1" applyFill="1" applyBorder="1" applyAlignment="1">
      <alignment horizontal="center" vertical="center"/>
    </xf>
    <xf numFmtId="0" fontId="2" fillId="9" borderId="3" xfId="0" applyFont="1" applyFill="1" applyBorder="1" applyAlignment="1">
      <alignment horizontal="center" vertical="center"/>
    </xf>
    <xf numFmtId="0" fontId="2" fillId="9" borderId="1" xfId="0" applyFont="1" applyFill="1" applyBorder="1" applyAlignment="1">
      <alignment horizontal="center" vertical="center"/>
    </xf>
    <xf numFmtId="0" fontId="2" fillId="9" borderId="4" xfId="0" applyFont="1" applyFill="1" applyBorder="1" applyAlignment="1">
      <alignment horizontal="center" vertical="center"/>
    </xf>
    <xf numFmtId="0" fontId="2" fillId="9" borderId="13" xfId="0" applyFont="1" applyFill="1" applyBorder="1" applyAlignment="1">
      <alignment horizontal="center" vertical="center"/>
    </xf>
    <xf numFmtId="0" fontId="2" fillId="9" borderId="5" xfId="0" applyFont="1" applyFill="1" applyBorder="1" applyAlignment="1">
      <alignment horizontal="center" vertical="center"/>
    </xf>
    <xf numFmtId="0" fontId="2" fillId="9" borderId="11"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9" borderId="14" xfId="0" applyFont="1" applyFill="1" applyBorder="1" applyAlignment="1">
      <alignment horizontal="center" vertical="center"/>
    </xf>
    <xf numFmtId="0" fontId="2" fillId="9" borderId="0" xfId="0" applyFont="1" applyFill="1" applyAlignment="1">
      <alignment horizontal="center" vertical="center"/>
    </xf>
    <xf numFmtId="0" fontId="2" fillId="9" borderId="6" xfId="0" applyFont="1" applyFill="1" applyBorder="1" applyAlignment="1">
      <alignment horizontal="center" vertical="center"/>
    </xf>
    <xf numFmtId="0" fontId="2" fillId="9" borderId="12" xfId="0" applyFont="1" applyFill="1" applyBorder="1" applyAlignment="1">
      <alignment horizontal="center" vertical="center"/>
    </xf>
    <xf numFmtId="0" fontId="2" fillId="9" borderId="10" xfId="0" applyFont="1" applyFill="1" applyBorder="1" applyAlignment="1">
      <alignment horizontal="center" vertical="center"/>
    </xf>
    <xf numFmtId="0" fontId="2" fillId="9" borderId="7" xfId="0" applyFont="1" applyFill="1" applyBorder="1" applyAlignment="1">
      <alignment horizontal="center" vertical="center"/>
    </xf>
    <xf numFmtId="0" fontId="2" fillId="12" borderId="2" xfId="0" applyFont="1" applyFill="1" applyBorder="1" applyAlignment="1">
      <alignment horizontal="center" vertical="center"/>
    </xf>
    <xf numFmtId="0" fontId="2" fillId="12" borderId="15" xfId="0" applyFont="1" applyFill="1" applyBorder="1" applyAlignment="1">
      <alignment horizontal="center" vertical="center"/>
    </xf>
    <xf numFmtId="0" fontId="2" fillId="12" borderId="3"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0" xfId="0" applyFont="1" applyFill="1" applyBorder="1" applyAlignment="1">
      <alignment horizontal="center" vertical="center"/>
    </xf>
    <xf numFmtId="0" fontId="0" fillId="9" borderId="4" xfId="0" applyFill="1" applyBorder="1" applyAlignment="1">
      <alignment horizontal="center" vertical="center"/>
    </xf>
    <xf numFmtId="0" fontId="0" fillId="9" borderId="13" xfId="0" applyFill="1" applyBorder="1" applyAlignment="1">
      <alignment horizontal="center" vertical="center"/>
    </xf>
    <xf numFmtId="0" fontId="0" fillId="9" borderId="5" xfId="0" applyFill="1" applyBorder="1" applyAlignment="1">
      <alignment horizontal="center" vertical="center"/>
    </xf>
    <xf numFmtId="0" fontId="0" fillId="10" borderId="4" xfId="0" applyFill="1" applyBorder="1" applyAlignment="1">
      <alignment horizontal="center" vertical="center"/>
    </xf>
    <xf numFmtId="0" fontId="0" fillId="10" borderId="13" xfId="0" applyFill="1" applyBorder="1" applyAlignment="1">
      <alignment horizontal="center" vertical="center"/>
    </xf>
    <xf numFmtId="0" fontId="0" fillId="10" borderId="5" xfId="0" applyFill="1" applyBorder="1" applyAlignment="1">
      <alignment horizontal="center" vertical="center"/>
    </xf>
    <xf numFmtId="0" fontId="0" fillId="10" borderId="2" xfId="0" applyFill="1" applyBorder="1" applyAlignment="1">
      <alignment horizontal="center"/>
    </xf>
    <xf numFmtId="0" fontId="0" fillId="10" borderId="3" xfId="0" applyFill="1" applyBorder="1" applyAlignment="1">
      <alignment horizontal="center"/>
    </xf>
    <xf numFmtId="0" fontId="0" fillId="10" borderId="1" xfId="0" applyFill="1" applyBorder="1" applyAlignment="1">
      <alignment horizontal="center"/>
    </xf>
    <xf numFmtId="0" fontId="3" fillId="9" borderId="4" xfId="0" applyFont="1" applyFill="1" applyBorder="1" applyAlignment="1">
      <alignment horizontal="center" vertical="center"/>
    </xf>
    <xf numFmtId="0" fontId="3" fillId="9" borderId="13" xfId="0" applyFont="1" applyFill="1" applyBorder="1" applyAlignment="1">
      <alignment horizontal="center" vertical="center"/>
    </xf>
    <xf numFmtId="0" fontId="3" fillId="9" borderId="5"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1" xfId="0" applyFont="1" applyFill="1" applyBorder="1" applyAlignment="1">
      <alignment horizontal="center"/>
    </xf>
    <xf numFmtId="0" fontId="3" fillId="5" borderId="4"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2" xfId="0" applyFont="1" applyFill="1" applyBorder="1" applyAlignment="1">
      <alignment horizontal="center"/>
    </xf>
    <xf numFmtId="0" fontId="3" fillId="5" borderId="3" xfId="0" applyFont="1" applyFill="1" applyBorder="1" applyAlignment="1">
      <alignment horizontal="center"/>
    </xf>
    <xf numFmtId="0" fontId="3" fillId="8" borderId="9" xfId="0" applyFont="1" applyFill="1" applyBorder="1" applyAlignment="1">
      <alignment horizontal="center" vertical="center"/>
    </xf>
    <xf numFmtId="0" fontId="3" fillId="8" borderId="6" xfId="0" applyFont="1" applyFill="1" applyBorder="1" applyAlignment="1">
      <alignment horizontal="center" vertical="center"/>
    </xf>
    <xf numFmtId="0" fontId="3" fillId="8" borderId="7" xfId="0" applyFont="1" applyFill="1" applyBorder="1" applyAlignment="1">
      <alignment horizontal="center" vertical="center"/>
    </xf>
    <xf numFmtId="0" fontId="3" fillId="10" borderId="9"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3" fillId="10" borderId="4" xfId="0" applyFont="1" applyFill="1" applyBorder="1" applyAlignment="1">
      <alignment horizontal="center" vertical="center"/>
    </xf>
    <xf numFmtId="0" fontId="3" fillId="10" borderId="5" xfId="0" applyFont="1" applyFill="1" applyBorder="1" applyAlignment="1">
      <alignment horizontal="center" vertical="center"/>
    </xf>
    <xf numFmtId="0" fontId="3" fillId="10" borderId="2"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8" borderId="1" xfId="0" applyFont="1" applyFill="1" applyBorder="1" applyAlignment="1">
      <alignment horizontal="center" vertical="center"/>
    </xf>
    <xf numFmtId="0" fontId="3" fillId="4" borderId="1" xfId="0" applyFont="1" applyFill="1" applyBorder="1" applyAlignment="1">
      <alignment horizontal="center" vertical="center"/>
    </xf>
    <xf numFmtId="0" fontId="2" fillId="12" borderId="12" xfId="0" applyFont="1" applyFill="1" applyBorder="1" applyAlignment="1">
      <alignment horizontal="center"/>
    </xf>
    <xf numFmtId="0" fontId="2" fillId="12" borderId="10" xfId="0" applyFont="1" applyFill="1" applyBorder="1" applyAlignment="1">
      <alignment horizontal="center"/>
    </xf>
    <xf numFmtId="0" fontId="2" fillId="12" borderId="7" xfId="0" applyFont="1" applyFill="1" applyBorder="1" applyAlignment="1">
      <alignment horizontal="center"/>
    </xf>
    <xf numFmtId="0" fontId="2" fillId="12" borderId="1" xfId="0" applyFont="1" applyFill="1" applyBorder="1" applyAlignment="1">
      <alignment horizontal="center"/>
    </xf>
    <xf numFmtId="0" fontId="3" fillId="8" borderId="3" xfId="0" applyFont="1" applyFill="1" applyBorder="1" applyAlignment="1">
      <alignment horizontal="center" vertical="center"/>
    </xf>
    <xf numFmtId="0" fontId="14" fillId="12" borderId="12" xfId="0" applyFont="1" applyFill="1" applyBorder="1" applyAlignment="1">
      <alignment horizontal="center" vertical="center"/>
    </xf>
    <xf numFmtId="0" fontId="14" fillId="12" borderId="10" xfId="0" applyFont="1" applyFill="1" applyBorder="1" applyAlignment="1">
      <alignment horizontal="center" vertical="center"/>
    </xf>
    <xf numFmtId="0" fontId="14" fillId="12" borderId="7" xfId="0" applyFont="1" applyFill="1" applyBorder="1" applyAlignment="1">
      <alignment horizontal="center" vertical="center"/>
    </xf>
    <xf numFmtId="0" fontId="14" fillId="12" borderId="1" xfId="0" applyFont="1" applyFill="1" applyBorder="1" applyAlignment="1">
      <alignment horizontal="center" vertical="center"/>
    </xf>
    <xf numFmtId="0" fontId="2" fillId="12" borderId="2" xfId="0" applyFont="1" applyFill="1" applyBorder="1" applyAlignment="1">
      <alignment horizontal="center"/>
    </xf>
    <xf numFmtId="0" fontId="2" fillId="12" borderId="15" xfId="0" applyFont="1" applyFill="1" applyBorder="1" applyAlignment="1">
      <alignment horizontal="center"/>
    </xf>
    <xf numFmtId="0" fontId="2" fillId="12" borderId="3" xfId="0" applyFont="1" applyFill="1" applyBorder="1" applyAlignment="1">
      <alignment horizontal="center"/>
    </xf>
    <xf numFmtId="0" fontId="2" fillId="12" borderId="5" xfId="0" applyFont="1" applyFill="1" applyBorder="1" applyAlignment="1">
      <alignment horizontal="center"/>
    </xf>
    <xf numFmtId="0" fontId="11" fillId="2" borderId="1" xfId="0" applyFont="1" applyFill="1" applyBorder="1" applyAlignment="1">
      <alignment horizontal="center" vertical="center"/>
    </xf>
    <xf numFmtId="0" fontId="19" fillId="0" borderId="1" xfId="0" applyFont="1" applyBorder="1" applyAlignment="1">
      <alignment horizontal="center" vertical="center"/>
    </xf>
    <xf numFmtId="0" fontId="19" fillId="0" borderId="13" xfId="0" applyFont="1" applyBorder="1" applyAlignment="1">
      <alignment horizontal="center" vertical="center"/>
    </xf>
    <xf numFmtId="0" fontId="19" fillId="0" borderId="5" xfId="0" applyFont="1" applyBorder="1" applyAlignment="1">
      <alignment horizontal="center" vertical="center"/>
    </xf>
    <xf numFmtId="0" fontId="0" fillId="0" borderId="2" xfId="0" applyBorder="1" applyAlignment="1">
      <alignment horizontal="center"/>
    </xf>
    <xf numFmtId="0" fontId="0" fillId="0" borderId="15" xfId="0" applyBorder="1" applyAlignment="1">
      <alignment horizontal="center"/>
    </xf>
    <xf numFmtId="0" fontId="0" fillId="0" borderId="3" xfId="0" applyBorder="1" applyAlignment="1">
      <alignment horizontal="center"/>
    </xf>
    <xf numFmtId="0" fontId="0" fillId="0" borderId="13" xfId="0" applyBorder="1" applyAlignment="1">
      <alignment horizontal="center" vertical="center"/>
    </xf>
    <xf numFmtId="0" fontId="0" fillId="0" borderId="5" xfId="0" applyBorder="1" applyAlignment="1">
      <alignment horizontal="center" vertical="center"/>
    </xf>
    <xf numFmtId="0" fontId="15" fillId="0" borderId="13" xfId="0" applyFont="1" applyBorder="1" applyAlignment="1">
      <alignment horizontal="center" vertical="center"/>
    </xf>
    <xf numFmtId="0" fontId="15" fillId="0" borderId="5" xfId="0" applyFont="1" applyBorder="1" applyAlignment="1">
      <alignment horizontal="center" vertical="center"/>
    </xf>
    <xf numFmtId="0" fontId="17" fillId="0" borderId="13" xfId="0" applyFont="1" applyBorder="1" applyAlignment="1">
      <alignment horizontal="center" vertical="center"/>
    </xf>
    <xf numFmtId="0" fontId="17" fillId="0" borderId="5" xfId="0" applyFont="1" applyBorder="1" applyAlignment="1">
      <alignment horizontal="center" vertical="center"/>
    </xf>
    <xf numFmtId="0" fontId="18"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Surface tile angel of 90°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'ESOLinput (June to August)'!$B$52</c:f>
              <c:strCache>
                <c:ptCount val="1"/>
                <c:pt idx="0">
                  <c:v>Jun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August)'!$C$51:$F$51</c:f>
              <c:strCache>
                <c:ptCount val="4"/>
                <c:pt idx="0">
                  <c:v>North (N)</c:v>
                </c:pt>
                <c:pt idx="1">
                  <c:v>South (S)</c:v>
                </c:pt>
                <c:pt idx="2">
                  <c:v>East (E)</c:v>
                </c:pt>
                <c:pt idx="3">
                  <c:v>West (W)</c:v>
                </c:pt>
              </c:strCache>
            </c:strRef>
          </c:cat>
          <c:val>
            <c:numRef>
              <c:f>'ESOLinput (June to August)'!$C$52:$F$52</c:f>
              <c:numCache>
                <c:formatCode>#,##0.00</c:formatCode>
                <c:ptCount val="4"/>
                <c:pt idx="0">
                  <c:v>57.659399999999998</c:v>
                </c:pt>
                <c:pt idx="1">
                  <c:v>84.051599999999993</c:v>
                </c:pt>
                <c:pt idx="2" formatCode="General">
                  <c:v>112.86</c:v>
                </c:pt>
                <c:pt idx="3">
                  <c:v>107.732</c:v>
                </c:pt>
              </c:numCache>
            </c:numRef>
          </c:val>
          <c:extLst>
            <c:ext xmlns:c16="http://schemas.microsoft.com/office/drawing/2014/chart" uri="{C3380CC4-5D6E-409C-BE32-E72D297353CC}">
              <c16:uniqueId val="{00000000-51D1-4EA9-A969-94E91E4AA0E0}"/>
            </c:ext>
          </c:extLst>
        </c:ser>
        <c:ser>
          <c:idx val="1"/>
          <c:order val="1"/>
          <c:tx>
            <c:strRef>
              <c:f>'ESOLinput (June to August)'!$B$53</c:f>
              <c:strCache>
                <c:ptCount val="1"/>
                <c:pt idx="0">
                  <c:v>Jul</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August)'!$C$51:$F$51</c:f>
              <c:strCache>
                <c:ptCount val="4"/>
                <c:pt idx="0">
                  <c:v>North (N)</c:v>
                </c:pt>
                <c:pt idx="1">
                  <c:v>South (S)</c:v>
                </c:pt>
                <c:pt idx="2">
                  <c:v>East (E)</c:v>
                </c:pt>
                <c:pt idx="3">
                  <c:v>West (W)</c:v>
                </c:pt>
              </c:strCache>
            </c:strRef>
          </c:cat>
          <c:val>
            <c:numRef>
              <c:f>'ESOLinput (June to August)'!$C$53:$F$53</c:f>
              <c:numCache>
                <c:formatCode>#,##0.00</c:formatCode>
                <c:ptCount val="4"/>
                <c:pt idx="0">
                  <c:v>55.195599999999999</c:v>
                </c:pt>
                <c:pt idx="1">
                  <c:v>95.823099999999997</c:v>
                </c:pt>
                <c:pt idx="2">
                  <c:v>120.925</c:v>
                </c:pt>
                <c:pt idx="3">
                  <c:v>115.604</c:v>
                </c:pt>
              </c:numCache>
            </c:numRef>
          </c:val>
          <c:extLst>
            <c:ext xmlns:c16="http://schemas.microsoft.com/office/drawing/2014/chart" uri="{C3380CC4-5D6E-409C-BE32-E72D297353CC}">
              <c16:uniqueId val="{00000001-51D1-4EA9-A969-94E91E4AA0E0}"/>
            </c:ext>
          </c:extLst>
        </c:ser>
        <c:ser>
          <c:idx val="2"/>
          <c:order val="2"/>
          <c:tx>
            <c:strRef>
              <c:f>'ESOLinput (June to August)'!$B$54</c:f>
              <c:strCache>
                <c:ptCount val="1"/>
                <c:pt idx="0">
                  <c:v>Aug</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August)'!$C$51:$F$51</c:f>
              <c:strCache>
                <c:ptCount val="4"/>
                <c:pt idx="0">
                  <c:v>North (N)</c:v>
                </c:pt>
                <c:pt idx="1">
                  <c:v>South (S)</c:v>
                </c:pt>
                <c:pt idx="2">
                  <c:v>East (E)</c:v>
                </c:pt>
                <c:pt idx="3">
                  <c:v>West (W)</c:v>
                </c:pt>
              </c:strCache>
            </c:strRef>
          </c:cat>
          <c:val>
            <c:numRef>
              <c:f>'ESOLinput (June to August)'!$C$54:$F$54</c:f>
              <c:numCache>
                <c:formatCode>#,##0.00</c:formatCode>
                <c:ptCount val="4"/>
                <c:pt idx="0">
                  <c:v>46.674900000000001</c:v>
                </c:pt>
                <c:pt idx="1">
                  <c:v>111.062</c:v>
                </c:pt>
                <c:pt idx="2">
                  <c:v>109.67100000000001</c:v>
                </c:pt>
                <c:pt idx="3">
                  <c:v>104.071</c:v>
                </c:pt>
              </c:numCache>
            </c:numRef>
          </c:val>
          <c:extLst>
            <c:ext xmlns:c16="http://schemas.microsoft.com/office/drawing/2014/chart" uri="{C3380CC4-5D6E-409C-BE32-E72D297353CC}">
              <c16:uniqueId val="{00000002-51D1-4EA9-A969-94E91E4AA0E0}"/>
            </c:ext>
          </c:extLst>
        </c:ser>
        <c:dLbls>
          <c:showLegendKey val="0"/>
          <c:showVal val="0"/>
          <c:showCatName val="0"/>
          <c:showSerName val="0"/>
          <c:showPercent val="0"/>
          <c:showBubbleSize val="0"/>
        </c:dLbls>
        <c:gapWidth val="219"/>
        <c:overlap val="-27"/>
        <c:axId val="1063234719"/>
        <c:axId val="1063220799"/>
      </c:barChart>
      <c:catAx>
        <c:axId val="1063234719"/>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Orientation of the solar collection system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063220799"/>
        <c:crosses val="autoZero"/>
        <c:auto val="1"/>
        <c:lblAlgn val="ctr"/>
        <c:lblOffset val="100"/>
        <c:noMultiLvlLbl val="0"/>
      </c:catAx>
      <c:valAx>
        <c:axId val="106322079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Plane array irradiance (kWh/m2/month)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0632347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Surface tile angel of 60°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'ESOLinput (June to August)'!$B$59</c:f>
              <c:strCache>
                <c:ptCount val="1"/>
                <c:pt idx="0">
                  <c:v>Jun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August)'!$C$58:$F$58</c:f>
              <c:strCache>
                <c:ptCount val="4"/>
                <c:pt idx="0">
                  <c:v>North (N)</c:v>
                </c:pt>
                <c:pt idx="1">
                  <c:v>South (S)</c:v>
                </c:pt>
                <c:pt idx="2">
                  <c:v>East (E)</c:v>
                </c:pt>
                <c:pt idx="3">
                  <c:v>West (W)</c:v>
                </c:pt>
              </c:strCache>
            </c:strRef>
          </c:cat>
          <c:val>
            <c:numRef>
              <c:f>'ESOLinput (June to August)'!$C$59:$F$59</c:f>
              <c:numCache>
                <c:formatCode>#,##0.00</c:formatCode>
                <c:ptCount val="4"/>
                <c:pt idx="0">
                  <c:v>111.075</c:v>
                </c:pt>
                <c:pt idx="1">
                  <c:v>158.31700000000001</c:v>
                </c:pt>
                <c:pt idx="2">
                  <c:v>159.60400000000001</c:v>
                </c:pt>
                <c:pt idx="3">
                  <c:v>152.62200000000001</c:v>
                </c:pt>
              </c:numCache>
            </c:numRef>
          </c:val>
          <c:extLst>
            <c:ext xmlns:c16="http://schemas.microsoft.com/office/drawing/2014/chart" uri="{C3380CC4-5D6E-409C-BE32-E72D297353CC}">
              <c16:uniqueId val="{00000000-E022-41E7-84B3-229EAE60B6D4}"/>
            </c:ext>
          </c:extLst>
        </c:ser>
        <c:ser>
          <c:idx val="1"/>
          <c:order val="1"/>
          <c:tx>
            <c:strRef>
              <c:f>'ESOLinput (June to August)'!$B$60</c:f>
              <c:strCache>
                <c:ptCount val="1"/>
                <c:pt idx="0">
                  <c:v>Jul</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August)'!$C$58:$F$58</c:f>
              <c:strCache>
                <c:ptCount val="4"/>
                <c:pt idx="0">
                  <c:v>North (N)</c:v>
                </c:pt>
                <c:pt idx="1">
                  <c:v>South (S)</c:v>
                </c:pt>
                <c:pt idx="2">
                  <c:v>East (E)</c:v>
                </c:pt>
                <c:pt idx="3">
                  <c:v>West (W)</c:v>
                </c:pt>
              </c:strCache>
            </c:strRef>
          </c:cat>
          <c:val>
            <c:numRef>
              <c:f>'ESOLinput (June to August)'!$C$60:$F$60</c:f>
              <c:numCache>
                <c:formatCode>#,##0.00</c:formatCode>
                <c:ptCount val="4"/>
                <c:pt idx="0">
                  <c:v>106.49299999999999</c:v>
                </c:pt>
                <c:pt idx="1">
                  <c:v>178.273</c:v>
                </c:pt>
                <c:pt idx="2">
                  <c:v>170.715</c:v>
                </c:pt>
                <c:pt idx="3">
                  <c:v>164.227</c:v>
                </c:pt>
              </c:numCache>
            </c:numRef>
          </c:val>
          <c:extLst>
            <c:ext xmlns:c16="http://schemas.microsoft.com/office/drawing/2014/chart" uri="{C3380CC4-5D6E-409C-BE32-E72D297353CC}">
              <c16:uniqueId val="{00000001-E022-41E7-84B3-229EAE60B6D4}"/>
            </c:ext>
          </c:extLst>
        </c:ser>
        <c:ser>
          <c:idx val="2"/>
          <c:order val="2"/>
          <c:tx>
            <c:strRef>
              <c:f>'ESOLinput (June to August)'!$B$61</c:f>
              <c:strCache>
                <c:ptCount val="1"/>
                <c:pt idx="0">
                  <c:v>Aug</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August)'!$C$58:$F$58</c:f>
              <c:strCache>
                <c:ptCount val="4"/>
                <c:pt idx="0">
                  <c:v>North (N)</c:v>
                </c:pt>
                <c:pt idx="1">
                  <c:v>South (S)</c:v>
                </c:pt>
                <c:pt idx="2">
                  <c:v>East (E)</c:v>
                </c:pt>
                <c:pt idx="3">
                  <c:v>West (W)</c:v>
                </c:pt>
              </c:strCache>
            </c:strRef>
          </c:cat>
          <c:val>
            <c:numRef>
              <c:f>'ESOLinput (June to August)'!$C$61:$F$61</c:f>
              <c:numCache>
                <c:formatCode>#,##0.00</c:formatCode>
                <c:ptCount val="4"/>
                <c:pt idx="0">
                  <c:v>67.942499999999995</c:v>
                </c:pt>
                <c:pt idx="1">
                  <c:v>179.56200000000001</c:v>
                </c:pt>
                <c:pt idx="2">
                  <c:v>151.37200000000001</c:v>
                </c:pt>
                <c:pt idx="3">
                  <c:v>144.066</c:v>
                </c:pt>
              </c:numCache>
            </c:numRef>
          </c:val>
          <c:extLst>
            <c:ext xmlns:c16="http://schemas.microsoft.com/office/drawing/2014/chart" uri="{C3380CC4-5D6E-409C-BE32-E72D297353CC}">
              <c16:uniqueId val="{00000002-E022-41E7-84B3-229EAE60B6D4}"/>
            </c:ext>
          </c:extLst>
        </c:ser>
        <c:dLbls>
          <c:showLegendKey val="0"/>
          <c:showVal val="0"/>
          <c:showCatName val="0"/>
          <c:showSerName val="0"/>
          <c:showPercent val="0"/>
          <c:showBubbleSize val="0"/>
        </c:dLbls>
        <c:gapWidth val="219"/>
        <c:overlap val="-27"/>
        <c:axId val="1406686656"/>
        <c:axId val="1406675136"/>
      </c:barChart>
      <c:catAx>
        <c:axId val="140668665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Orientation of the solar collection system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406675136"/>
        <c:crosses val="autoZero"/>
        <c:auto val="1"/>
        <c:lblAlgn val="ctr"/>
        <c:lblOffset val="100"/>
        <c:noMultiLvlLbl val="0"/>
      </c:catAx>
      <c:valAx>
        <c:axId val="14066751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Plane array irradiance (kWh/m2/month)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406686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Surface tile angel of 30°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'ESOLinput (June to August)'!$B$66</c:f>
              <c:strCache>
                <c:ptCount val="1"/>
                <c:pt idx="0">
                  <c:v>Jun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August)'!$C$65:$F$65</c:f>
              <c:strCache>
                <c:ptCount val="4"/>
                <c:pt idx="0">
                  <c:v>North (N)</c:v>
                </c:pt>
                <c:pt idx="1">
                  <c:v>South (S)</c:v>
                </c:pt>
                <c:pt idx="2">
                  <c:v>East (E)</c:v>
                </c:pt>
                <c:pt idx="3">
                  <c:v>West (W)</c:v>
                </c:pt>
              </c:strCache>
            </c:strRef>
          </c:cat>
          <c:val>
            <c:numRef>
              <c:f>'ESOLinput (June to August)'!$C$66:$F$66</c:f>
              <c:numCache>
                <c:formatCode>#,##0.00</c:formatCode>
                <c:ptCount val="4"/>
                <c:pt idx="0">
                  <c:v>180.905</c:v>
                </c:pt>
                <c:pt idx="1">
                  <c:v>207.36799999999999</c:v>
                </c:pt>
                <c:pt idx="2">
                  <c:v>198.94300000000001</c:v>
                </c:pt>
                <c:pt idx="3" formatCode="0.00">
                  <c:v>193.7</c:v>
                </c:pt>
              </c:numCache>
            </c:numRef>
          </c:val>
          <c:extLst>
            <c:ext xmlns:c16="http://schemas.microsoft.com/office/drawing/2014/chart" uri="{C3380CC4-5D6E-409C-BE32-E72D297353CC}">
              <c16:uniqueId val="{00000000-D0B5-4A46-820F-DEDF26A6114C}"/>
            </c:ext>
          </c:extLst>
        </c:ser>
        <c:ser>
          <c:idx val="1"/>
          <c:order val="1"/>
          <c:tx>
            <c:strRef>
              <c:f>'ESOLinput (June to August)'!$B$67</c:f>
              <c:strCache>
                <c:ptCount val="1"/>
                <c:pt idx="0">
                  <c:v>Jul</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August)'!$C$65:$F$65</c:f>
              <c:strCache>
                <c:ptCount val="4"/>
                <c:pt idx="0">
                  <c:v>North (N)</c:v>
                </c:pt>
                <c:pt idx="1">
                  <c:v>South (S)</c:v>
                </c:pt>
                <c:pt idx="2">
                  <c:v>East (E)</c:v>
                </c:pt>
                <c:pt idx="3">
                  <c:v>West (W)</c:v>
                </c:pt>
              </c:strCache>
            </c:strRef>
          </c:cat>
          <c:val>
            <c:numRef>
              <c:f>'ESOLinput (June to August)'!$C$67:$F$67</c:f>
              <c:numCache>
                <c:formatCode>#,##0.00</c:formatCode>
                <c:ptCount val="4"/>
                <c:pt idx="0">
                  <c:v>187.80699999999999</c:v>
                </c:pt>
                <c:pt idx="1">
                  <c:v>228.44499999999999</c:v>
                </c:pt>
                <c:pt idx="2">
                  <c:v>213.554</c:v>
                </c:pt>
                <c:pt idx="3">
                  <c:v>208.36699999999999</c:v>
                </c:pt>
              </c:numCache>
            </c:numRef>
          </c:val>
          <c:extLst>
            <c:ext xmlns:c16="http://schemas.microsoft.com/office/drawing/2014/chart" uri="{C3380CC4-5D6E-409C-BE32-E72D297353CC}">
              <c16:uniqueId val="{00000001-D0B5-4A46-820F-DEDF26A6114C}"/>
            </c:ext>
          </c:extLst>
        </c:ser>
        <c:ser>
          <c:idx val="2"/>
          <c:order val="2"/>
          <c:tx>
            <c:strRef>
              <c:f>'ESOLinput (June to August)'!$B$68</c:f>
              <c:strCache>
                <c:ptCount val="1"/>
                <c:pt idx="0">
                  <c:v>Aug</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August)'!$C$65:$F$65</c:f>
              <c:strCache>
                <c:ptCount val="4"/>
                <c:pt idx="0">
                  <c:v>North (N)</c:v>
                </c:pt>
                <c:pt idx="1">
                  <c:v>South (S)</c:v>
                </c:pt>
                <c:pt idx="2">
                  <c:v>East (E)</c:v>
                </c:pt>
                <c:pt idx="3">
                  <c:v>West (W)</c:v>
                </c:pt>
              </c:strCache>
            </c:strRef>
          </c:cat>
          <c:val>
            <c:numRef>
              <c:f>'ESOLinput (June to August)'!$C$68:$F$68</c:f>
              <c:numCache>
                <c:formatCode>#,##0.00</c:formatCode>
                <c:ptCount val="4"/>
                <c:pt idx="0">
                  <c:v>147.06700000000001</c:v>
                </c:pt>
                <c:pt idx="1">
                  <c:v>211.45400000000001</c:v>
                </c:pt>
                <c:pt idx="2">
                  <c:v>184.613</c:v>
                </c:pt>
                <c:pt idx="3">
                  <c:v>179.78800000000001</c:v>
                </c:pt>
              </c:numCache>
            </c:numRef>
          </c:val>
          <c:extLst>
            <c:ext xmlns:c16="http://schemas.microsoft.com/office/drawing/2014/chart" uri="{C3380CC4-5D6E-409C-BE32-E72D297353CC}">
              <c16:uniqueId val="{00000002-D0B5-4A46-820F-DEDF26A6114C}"/>
            </c:ext>
          </c:extLst>
        </c:ser>
        <c:dLbls>
          <c:showLegendKey val="0"/>
          <c:showVal val="0"/>
          <c:showCatName val="0"/>
          <c:showSerName val="0"/>
          <c:showPercent val="0"/>
          <c:showBubbleSize val="0"/>
        </c:dLbls>
        <c:gapWidth val="219"/>
        <c:overlap val="-27"/>
        <c:axId val="1057297391"/>
        <c:axId val="1057292591"/>
      </c:barChart>
      <c:catAx>
        <c:axId val="105729739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Orientation of the solar collection system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057292591"/>
        <c:crosses val="autoZero"/>
        <c:auto val="1"/>
        <c:lblAlgn val="ctr"/>
        <c:lblOffset val="100"/>
        <c:noMultiLvlLbl val="0"/>
      </c:catAx>
      <c:valAx>
        <c:axId val="105729259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Plane array irradiance (kWh/m2/month)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0572973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Surface tile angel of 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'ESOLinput (June to August)'!$B$73</c:f>
              <c:strCache>
                <c:ptCount val="1"/>
                <c:pt idx="0">
                  <c:v>Jun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August)'!$C$72:$F$72</c:f>
              <c:strCache>
                <c:ptCount val="4"/>
                <c:pt idx="0">
                  <c:v>North (N)</c:v>
                </c:pt>
                <c:pt idx="1">
                  <c:v>South (S)</c:v>
                </c:pt>
                <c:pt idx="2">
                  <c:v>East (E)</c:v>
                </c:pt>
                <c:pt idx="3">
                  <c:v>West (W)</c:v>
                </c:pt>
              </c:strCache>
            </c:strRef>
          </c:cat>
          <c:val>
            <c:numRef>
              <c:f>'ESOLinput (June to August)'!$C$73:$F$73</c:f>
              <c:numCache>
                <c:formatCode>#,##0.00</c:formatCode>
                <c:ptCount val="4"/>
                <c:pt idx="0">
                  <c:v>214.09</c:v>
                </c:pt>
                <c:pt idx="1">
                  <c:v>214.09</c:v>
                </c:pt>
                <c:pt idx="2">
                  <c:v>214.09</c:v>
                </c:pt>
                <c:pt idx="3">
                  <c:v>214.09</c:v>
                </c:pt>
              </c:numCache>
            </c:numRef>
          </c:val>
          <c:extLst>
            <c:ext xmlns:c16="http://schemas.microsoft.com/office/drawing/2014/chart" uri="{C3380CC4-5D6E-409C-BE32-E72D297353CC}">
              <c16:uniqueId val="{00000000-B622-47E0-86A2-A827D204DF0B}"/>
            </c:ext>
          </c:extLst>
        </c:ser>
        <c:ser>
          <c:idx val="1"/>
          <c:order val="1"/>
          <c:tx>
            <c:strRef>
              <c:f>'ESOLinput (June to August)'!$B$74</c:f>
              <c:strCache>
                <c:ptCount val="1"/>
                <c:pt idx="0">
                  <c:v>Jul</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August)'!$C$72:$F$72</c:f>
              <c:strCache>
                <c:ptCount val="4"/>
                <c:pt idx="0">
                  <c:v>North (N)</c:v>
                </c:pt>
                <c:pt idx="1">
                  <c:v>South (S)</c:v>
                </c:pt>
                <c:pt idx="2">
                  <c:v>East (E)</c:v>
                </c:pt>
                <c:pt idx="3">
                  <c:v>West (W)</c:v>
                </c:pt>
              </c:strCache>
            </c:strRef>
          </c:cat>
          <c:val>
            <c:numRef>
              <c:f>'ESOLinput (June to August)'!$C$74:$F$74</c:f>
              <c:numCache>
                <c:formatCode>#,##0.00</c:formatCode>
                <c:ptCount val="4"/>
                <c:pt idx="0">
                  <c:v>229.91</c:v>
                </c:pt>
                <c:pt idx="1">
                  <c:v>229.91</c:v>
                </c:pt>
                <c:pt idx="2">
                  <c:v>229.91</c:v>
                </c:pt>
                <c:pt idx="3">
                  <c:v>229.91</c:v>
                </c:pt>
              </c:numCache>
            </c:numRef>
          </c:val>
          <c:extLst>
            <c:ext xmlns:c16="http://schemas.microsoft.com/office/drawing/2014/chart" uri="{C3380CC4-5D6E-409C-BE32-E72D297353CC}">
              <c16:uniqueId val="{00000001-B622-47E0-86A2-A827D204DF0B}"/>
            </c:ext>
          </c:extLst>
        </c:ser>
        <c:ser>
          <c:idx val="2"/>
          <c:order val="2"/>
          <c:tx>
            <c:strRef>
              <c:f>'ESOLinput (June to August)'!$B$75</c:f>
              <c:strCache>
                <c:ptCount val="1"/>
                <c:pt idx="0">
                  <c:v>Aug</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August)'!$C$72:$F$72</c:f>
              <c:strCache>
                <c:ptCount val="4"/>
                <c:pt idx="0">
                  <c:v>North (N)</c:v>
                </c:pt>
                <c:pt idx="1">
                  <c:v>South (S)</c:v>
                </c:pt>
                <c:pt idx="2">
                  <c:v>East (E)</c:v>
                </c:pt>
                <c:pt idx="3">
                  <c:v>West (W)</c:v>
                </c:pt>
              </c:strCache>
            </c:strRef>
          </c:cat>
          <c:val>
            <c:numRef>
              <c:f>'ESOLinput (June to August)'!$C$75:$F$75</c:f>
              <c:numCache>
                <c:formatCode>#,##0.00</c:formatCode>
                <c:ptCount val="4"/>
                <c:pt idx="0">
                  <c:v>197.43100000000001</c:v>
                </c:pt>
                <c:pt idx="1">
                  <c:v>197.43100000000001</c:v>
                </c:pt>
                <c:pt idx="2">
                  <c:v>197.43100000000001</c:v>
                </c:pt>
                <c:pt idx="3">
                  <c:v>197.43100000000001</c:v>
                </c:pt>
              </c:numCache>
            </c:numRef>
          </c:val>
          <c:extLst>
            <c:ext xmlns:c16="http://schemas.microsoft.com/office/drawing/2014/chart" uri="{C3380CC4-5D6E-409C-BE32-E72D297353CC}">
              <c16:uniqueId val="{00000002-B622-47E0-86A2-A827D204DF0B}"/>
            </c:ext>
          </c:extLst>
        </c:ser>
        <c:dLbls>
          <c:showLegendKey val="0"/>
          <c:showVal val="0"/>
          <c:showCatName val="0"/>
          <c:showSerName val="0"/>
          <c:showPercent val="0"/>
          <c:showBubbleSize val="0"/>
        </c:dLbls>
        <c:gapWidth val="219"/>
        <c:overlap val="-27"/>
        <c:axId val="1301950735"/>
        <c:axId val="1301951215"/>
      </c:barChart>
      <c:catAx>
        <c:axId val="1301950735"/>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Orientation of the solar collection system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301951215"/>
        <c:crosses val="autoZero"/>
        <c:auto val="1"/>
        <c:lblAlgn val="ctr"/>
        <c:lblOffset val="100"/>
        <c:noMultiLvlLbl val="0"/>
      </c:catAx>
      <c:valAx>
        <c:axId val="1301951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Plane array irradiance (kWh/m2/month)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3019507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'ESOLinput (June to August)'!$B$83</c:f>
              <c:strCache>
                <c:ptCount val="1"/>
                <c:pt idx="0">
                  <c:v>Surface tile angel of 90°</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August)'!$C$82:$F$82</c:f>
              <c:strCache>
                <c:ptCount val="4"/>
                <c:pt idx="0">
                  <c:v>North (N)</c:v>
                </c:pt>
                <c:pt idx="1">
                  <c:v>South (S)</c:v>
                </c:pt>
                <c:pt idx="2">
                  <c:v>East (E)</c:v>
                </c:pt>
                <c:pt idx="3">
                  <c:v>West (W)</c:v>
                </c:pt>
              </c:strCache>
            </c:strRef>
          </c:cat>
          <c:val>
            <c:numRef>
              <c:f>'ESOLinput (June to August)'!$C$83:$F$83</c:f>
              <c:numCache>
                <c:formatCode>#,##0.00</c:formatCode>
                <c:ptCount val="4"/>
                <c:pt idx="0">
                  <c:v>159.5299</c:v>
                </c:pt>
                <c:pt idx="1">
                  <c:v>290.93669999999997</c:v>
                </c:pt>
                <c:pt idx="2">
                  <c:v>343.45600000000002</c:v>
                </c:pt>
                <c:pt idx="3">
                  <c:v>327.40700000000004</c:v>
                </c:pt>
              </c:numCache>
            </c:numRef>
          </c:val>
          <c:extLst>
            <c:ext xmlns:c16="http://schemas.microsoft.com/office/drawing/2014/chart" uri="{C3380CC4-5D6E-409C-BE32-E72D297353CC}">
              <c16:uniqueId val="{00000000-F934-4DDA-8FD7-EF05B04D07D9}"/>
            </c:ext>
          </c:extLst>
        </c:ser>
        <c:ser>
          <c:idx val="1"/>
          <c:order val="1"/>
          <c:tx>
            <c:strRef>
              <c:f>'ESOLinput (June to August)'!$B$84</c:f>
              <c:strCache>
                <c:ptCount val="1"/>
                <c:pt idx="0">
                  <c:v>Surface tile angel of 60°</c:v>
                </c:pt>
              </c:strCache>
            </c:strRef>
          </c:tx>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August)'!$C$82:$F$82</c:f>
              <c:strCache>
                <c:ptCount val="4"/>
                <c:pt idx="0">
                  <c:v>North (N)</c:v>
                </c:pt>
                <c:pt idx="1">
                  <c:v>South (S)</c:v>
                </c:pt>
                <c:pt idx="2">
                  <c:v>East (E)</c:v>
                </c:pt>
                <c:pt idx="3">
                  <c:v>West (W)</c:v>
                </c:pt>
              </c:strCache>
            </c:strRef>
          </c:cat>
          <c:val>
            <c:numRef>
              <c:f>'ESOLinput (June to August)'!$C$84:$F$84</c:f>
              <c:numCache>
                <c:formatCode>#,##0.00</c:formatCode>
                <c:ptCount val="4"/>
                <c:pt idx="0">
                  <c:v>285.51049999999998</c:v>
                </c:pt>
                <c:pt idx="1">
                  <c:v>516.15200000000004</c:v>
                </c:pt>
                <c:pt idx="2">
                  <c:v>481.69100000000003</c:v>
                </c:pt>
                <c:pt idx="3">
                  <c:v>460.91500000000008</c:v>
                </c:pt>
              </c:numCache>
            </c:numRef>
          </c:val>
          <c:extLst>
            <c:ext xmlns:c16="http://schemas.microsoft.com/office/drawing/2014/chart" uri="{C3380CC4-5D6E-409C-BE32-E72D297353CC}">
              <c16:uniqueId val="{00000001-F934-4DDA-8FD7-EF05B04D07D9}"/>
            </c:ext>
          </c:extLst>
        </c:ser>
        <c:ser>
          <c:idx val="2"/>
          <c:order val="2"/>
          <c:tx>
            <c:strRef>
              <c:f>'ESOLinput (June to August)'!$B$85</c:f>
              <c:strCache>
                <c:ptCount val="1"/>
                <c:pt idx="0">
                  <c:v>Surface tile angel of 30°</c:v>
                </c:pt>
              </c:strCache>
            </c:strRef>
          </c:tx>
          <c:spPr>
            <a:solidFill>
              <a:schemeClr val="accent3"/>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August)'!$C$82:$F$82</c:f>
              <c:strCache>
                <c:ptCount val="4"/>
                <c:pt idx="0">
                  <c:v>North (N)</c:v>
                </c:pt>
                <c:pt idx="1">
                  <c:v>South (S)</c:v>
                </c:pt>
                <c:pt idx="2">
                  <c:v>East (E)</c:v>
                </c:pt>
                <c:pt idx="3">
                  <c:v>West (W)</c:v>
                </c:pt>
              </c:strCache>
            </c:strRef>
          </c:cat>
          <c:val>
            <c:numRef>
              <c:f>'ESOLinput (June to August)'!$C$85:$F$85</c:f>
              <c:numCache>
                <c:formatCode>#,##0.00</c:formatCode>
                <c:ptCount val="4"/>
                <c:pt idx="0">
                  <c:v>515.779</c:v>
                </c:pt>
                <c:pt idx="1">
                  <c:v>647.26700000000005</c:v>
                </c:pt>
                <c:pt idx="2">
                  <c:v>597.11</c:v>
                </c:pt>
                <c:pt idx="3">
                  <c:v>581.85500000000002</c:v>
                </c:pt>
              </c:numCache>
            </c:numRef>
          </c:val>
          <c:extLst>
            <c:ext xmlns:c16="http://schemas.microsoft.com/office/drawing/2014/chart" uri="{C3380CC4-5D6E-409C-BE32-E72D297353CC}">
              <c16:uniqueId val="{00000002-F934-4DDA-8FD7-EF05B04D07D9}"/>
            </c:ext>
          </c:extLst>
        </c:ser>
        <c:ser>
          <c:idx val="3"/>
          <c:order val="3"/>
          <c:tx>
            <c:strRef>
              <c:f>'ESOLinput (June to August)'!$B$86</c:f>
              <c:strCache>
                <c:ptCount val="1"/>
                <c:pt idx="0">
                  <c:v>Surface tile angel of 0°</c:v>
                </c:pt>
              </c:strCache>
            </c:strRef>
          </c:tx>
          <c:spPr>
            <a:solidFill>
              <a:schemeClr val="accent4"/>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'ESOLinput (June to August)'!$C$82:$F$82</c:f>
              <c:strCache>
                <c:ptCount val="4"/>
                <c:pt idx="0">
                  <c:v>North (N)</c:v>
                </c:pt>
                <c:pt idx="1">
                  <c:v>South (S)</c:v>
                </c:pt>
                <c:pt idx="2">
                  <c:v>East (E)</c:v>
                </c:pt>
                <c:pt idx="3">
                  <c:v>West (W)</c:v>
                </c:pt>
              </c:strCache>
            </c:strRef>
          </c:cat>
          <c:val>
            <c:numRef>
              <c:f>'ESOLinput (June to August)'!$C$86:$F$86</c:f>
              <c:numCache>
                <c:formatCode>#,##0.00</c:formatCode>
                <c:ptCount val="4"/>
                <c:pt idx="0">
                  <c:v>641.43100000000004</c:v>
                </c:pt>
                <c:pt idx="1">
                  <c:v>641.43100000000004</c:v>
                </c:pt>
                <c:pt idx="2">
                  <c:v>641.43100000000004</c:v>
                </c:pt>
                <c:pt idx="3">
                  <c:v>641.43100000000004</c:v>
                </c:pt>
              </c:numCache>
            </c:numRef>
          </c:val>
          <c:extLst>
            <c:ext xmlns:c16="http://schemas.microsoft.com/office/drawing/2014/chart" uri="{C3380CC4-5D6E-409C-BE32-E72D297353CC}">
              <c16:uniqueId val="{00000003-F934-4DDA-8FD7-EF05B04D07D9}"/>
            </c:ext>
          </c:extLst>
        </c:ser>
        <c:dLbls>
          <c:showLegendKey val="0"/>
          <c:showVal val="0"/>
          <c:showCatName val="0"/>
          <c:showSerName val="0"/>
          <c:showPercent val="0"/>
          <c:showBubbleSize val="0"/>
        </c:dLbls>
        <c:gapWidth val="219"/>
        <c:overlap val="-27"/>
        <c:axId val="1301929615"/>
        <c:axId val="1301947375"/>
      </c:barChart>
      <c:catAx>
        <c:axId val="1301929615"/>
        <c:scaling>
          <c:orientation val="minMax"/>
        </c:scaling>
        <c:delete val="0"/>
        <c:axPos val="b"/>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nl-NL"/>
                  <a:t>Orientation of the solar collection system </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nl-NL"/>
          </a:p>
        </c:txPr>
        <c:crossAx val="1301947375"/>
        <c:crosses val="autoZero"/>
        <c:auto val="1"/>
        <c:lblAlgn val="ctr"/>
        <c:lblOffset val="100"/>
        <c:noMultiLvlLbl val="0"/>
      </c:catAx>
      <c:valAx>
        <c:axId val="130194737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nl-NL"/>
                  <a:t>Summer season plane array irradiance (ESOLinput) (kWh/m2/summer season)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nl-NL"/>
          </a:p>
        </c:txPr>
        <c:crossAx val="13019296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'Summary Charts of Key Results'!$D$39</c:f>
              <c:strCache>
                <c:ptCount val="1"/>
                <c:pt idx="0">
                  <c:v>LCC(AW)[€/year]</c:v>
                </c:pt>
              </c:strCache>
            </c:strRef>
          </c:tx>
          <c:spPr>
            <a:solidFill>
              <a:schemeClr val="accent1"/>
            </a:solidFill>
            <a:ln>
              <a:noFill/>
            </a:ln>
            <a:effectLst/>
          </c:spPr>
          <c:invertIfNegative val="0"/>
          <c:cat>
            <c:strRef>
              <c:f>'Summary Charts of Key Results'!$C$40:$C$47</c:f>
              <c:strCache>
                <c:ptCount val="8"/>
                <c:pt idx="0">
                  <c:v>DE chillers&amp;ETCs (C.I: 0.50 Roof-UF)</c:v>
                </c:pt>
                <c:pt idx="1">
                  <c:v>DE chillers&amp;ETCs (C.I: 0.60 Roof-UF)</c:v>
                </c:pt>
                <c:pt idx="2">
                  <c:v>DE chillers&amp;ETCs (C.II: 0.50 Roof-UF)</c:v>
                </c:pt>
                <c:pt idx="3">
                  <c:v>DE chillers&amp;ETCs (C.II: 0.60 Roof-UF)</c:v>
                </c:pt>
                <c:pt idx="4">
                  <c:v>DE chillers&amp;ETCs (C.III: 0.40 Roof-UF)</c:v>
                </c:pt>
                <c:pt idx="5">
                  <c:v>DE chillers&amp;ETCs (C.III: 0.50 Roof-UF)</c:v>
                </c:pt>
                <c:pt idx="6">
                  <c:v>DE chillers&amp;ETCs (C.III: 0.60 Roof-UF)</c:v>
                </c:pt>
                <c:pt idx="7">
                  <c:v>VCC&amp;PV (C.III: 0.60 Roof-UF)</c:v>
                </c:pt>
              </c:strCache>
            </c:strRef>
          </c:cat>
          <c:val>
            <c:numRef>
              <c:f>'Summary Charts of Key Results'!$D$40:$D$47</c:f>
              <c:numCache>
                <c:formatCode>0.00</c:formatCode>
                <c:ptCount val="8"/>
                <c:pt idx="0">
                  <c:v>95720.966433301655</c:v>
                </c:pt>
                <c:pt idx="1">
                  <c:v>101449.40366019063</c:v>
                </c:pt>
                <c:pt idx="2">
                  <c:v>96145.506603403439</c:v>
                </c:pt>
                <c:pt idx="3">
                  <c:v>101868.38710670768</c:v>
                </c:pt>
                <c:pt idx="4">
                  <c:v>104702.60182492725</c:v>
                </c:pt>
                <c:pt idx="5">
                  <c:v>110320.88871527587</c:v>
                </c:pt>
                <c:pt idx="6">
                  <c:v>115877.24021766991</c:v>
                </c:pt>
                <c:pt idx="7">
                  <c:v>52838.358360607315</c:v>
                </c:pt>
              </c:numCache>
            </c:numRef>
          </c:val>
          <c:extLst>
            <c:ext xmlns:c16="http://schemas.microsoft.com/office/drawing/2014/chart" uri="{C3380CC4-5D6E-409C-BE32-E72D297353CC}">
              <c16:uniqueId val="{00000000-BE91-4F62-B164-FA9B9D2804D9}"/>
            </c:ext>
          </c:extLst>
        </c:ser>
        <c:dLbls>
          <c:showLegendKey val="0"/>
          <c:showVal val="0"/>
          <c:showCatName val="0"/>
          <c:showSerName val="0"/>
          <c:showPercent val="0"/>
          <c:showBubbleSize val="0"/>
        </c:dLbls>
        <c:gapWidth val="219"/>
        <c:overlap val="-27"/>
        <c:axId val="160992159"/>
        <c:axId val="160990719"/>
      </c:barChart>
      <c:lineChart>
        <c:grouping val="standard"/>
        <c:varyColors val="0"/>
        <c:ser>
          <c:idx val="1"/>
          <c:order val="1"/>
          <c:tx>
            <c:strRef>
              <c:f>'Summary Charts of Key Results'!$E$39</c:f>
              <c:strCache>
                <c:ptCount val="1"/>
                <c:pt idx="0">
                  <c:v>LCOC [€/kWh/year(summer)]</c:v>
                </c:pt>
              </c:strCache>
            </c:strRef>
          </c:tx>
          <c:spPr>
            <a:ln w="28575" cap="rnd">
              <a:solidFill>
                <a:schemeClr val="accent2"/>
              </a:solidFill>
              <a:round/>
            </a:ln>
            <a:effectLst/>
          </c:spPr>
          <c:marker>
            <c:symbol val="none"/>
          </c:marker>
          <c:cat>
            <c:strRef>
              <c:f>'Summary Charts of Key Results'!$C$40:$C$47</c:f>
              <c:strCache>
                <c:ptCount val="8"/>
                <c:pt idx="0">
                  <c:v>DE chillers&amp;ETCs (C.I: 0.50 Roof-UF)</c:v>
                </c:pt>
                <c:pt idx="1">
                  <c:v>DE chillers&amp;ETCs (C.I: 0.60 Roof-UF)</c:v>
                </c:pt>
                <c:pt idx="2">
                  <c:v>DE chillers&amp;ETCs (C.II: 0.50 Roof-UF)</c:v>
                </c:pt>
                <c:pt idx="3">
                  <c:v>DE chillers&amp;ETCs (C.II: 0.60 Roof-UF)</c:v>
                </c:pt>
                <c:pt idx="4">
                  <c:v>DE chillers&amp;ETCs (C.III: 0.40 Roof-UF)</c:v>
                </c:pt>
                <c:pt idx="5">
                  <c:v>DE chillers&amp;ETCs (C.III: 0.50 Roof-UF)</c:v>
                </c:pt>
                <c:pt idx="6">
                  <c:v>DE chillers&amp;ETCs (C.III: 0.60 Roof-UF)</c:v>
                </c:pt>
                <c:pt idx="7">
                  <c:v>VCC&amp;PV (C.III: 0.60 Roof-UF)</c:v>
                </c:pt>
              </c:strCache>
            </c:strRef>
          </c:cat>
          <c:val>
            <c:numRef>
              <c:f>'Summary Charts of Key Results'!$E$40:$E$47</c:f>
              <c:numCache>
                <c:formatCode>0.0000</c:formatCode>
                <c:ptCount val="8"/>
                <c:pt idx="0">
                  <c:v>0.10130335575443579</c:v>
                </c:pt>
                <c:pt idx="1">
                  <c:v>9.492877970560161E-2</c:v>
                </c:pt>
                <c:pt idx="2">
                  <c:v>0.10078884465264065</c:v>
                </c:pt>
                <c:pt idx="3">
                  <c:v>9.4521657894459765E-2</c:v>
                </c:pt>
                <c:pt idx="4">
                  <c:v>0.10732721790852323</c:v>
                </c:pt>
                <c:pt idx="5">
                  <c:v>0.10035183919275059</c:v>
                </c:pt>
                <c:pt idx="6">
                  <c:v>9.4737799365115422E-2</c:v>
                </c:pt>
                <c:pt idx="7">
                  <c:v>5.8907831924851266E-2</c:v>
                </c:pt>
              </c:numCache>
            </c:numRef>
          </c:val>
          <c:smooth val="0"/>
          <c:extLst>
            <c:ext xmlns:c16="http://schemas.microsoft.com/office/drawing/2014/chart" uri="{C3380CC4-5D6E-409C-BE32-E72D297353CC}">
              <c16:uniqueId val="{00000001-BE91-4F62-B164-FA9B9D2804D9}"/>
            </c:ext>
          </c:extLst>
        </c:ser>
        <c:dLbls>
          <c:showLegendKey val="0"/>
          <c:showVal val="0"/>
          <c:showCatName val="0"/>
          <c:showSerName val="0"/>
          <c:showPercent val="0"/>
          <c:showBubbleSize val="0"/>
        </c:dLbls>
        <c:marker val="1"/>
        <c:smooth val="0"/>
        <c:axId val="160989759"/>
        <c:axId val="160996479"/>
      </c:lineChart>
      <c:catAx>
        <c:axId val="160992159"/>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Scenarios Per Configuration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60990719"/>
        <c:crosses val="autoZero"/>
        <c:auto val="1"/>
        <c:lblAlgn val="ctr"/>
        <c:lblOffset val="100"/>
        <c:noMultiLvlLbl val="0"/>
      </c:catAx>
      <c:valAx>
        <c:axId val="16099071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LCC(AW)[€/year]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60992159"/>
        <c:crosses val="autoZero"/>
        <c:crossBetween val="between"/>
      </c:valAx>
      <c:valAx>
        <c:axId val="160996479"/>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LCOC [€/kWh/year(summer)]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60989759"/>
        <c:crosses val="max"/>
        <c:crossBetween val="between"/>
      </c:valAx>
      <c:catAx>
        <c:axId val="160989759"/>
        <c:scaling>
          <c:orientation val="minMax"/>
        </c:scaling>
        <c:delete val="1"/>
        <c:axPos val="b"/>
        <c:numFmt formatCode="General" sourceLinked="1"/>
        <c:majorTickMark val="out"/>
        <c:minorTickMark val="none"/>
        <c:tickLblPos val="nextTo"/>
        <c:crossAx val="1609964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6</xdr:col>
      <xdr:colOff>628651</xdr:colOff>
      <xdr:row>16</xdr:row>
      <xdr:rowOff>93888</xdr:rowOff>
    </xdr:from>
    <xdr:to>
      <xdr:col>10</xdr:col>
      <xdr:colOff>2086316</xdr:colOff>
      <xdr:row>32</xdr:row>
      <xdr:rowOff>189138</xdr:rowOff>
    </xdr:to>
    <xdr:graphicFrame macro="">
      <xdr:nvGraphicFramePr>
        <xdr:cNvPr id="2" name="Chart 1">
          <a:extLst>
            <a:ext uri="{FF2B5EF4-FFF2-40B4-BE49-F238E27FC236}">
              <a16:creationId xmlns:a16="http://schemas.microsoft.com/office/drawing/2014/main" id="{77F4493A-F979-20AE-E418-7A3FBDBA8E8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659946</xdr:colOff>
      <xdr:row>33</xdr:row>
      <xdr:rowOff>131989</xdr:rowOff>
    </xdr:from>
    <xdr:to>
      <xdr:col>10</xdr:col>
      <xdr:colOff>2122714</xdr:colOff>
      <xdr:row>51</xdr:row>
      <xdr:rowOff>1</xdr:rowOff>
    </xdr:to>
    <xdr:graphicFrame macro="">
      <xdr:nvGraphicFramePr>
        <xdr:cNvPr id="4" name="Chart 3">
          <a:extLst>
            <a:ext uri="{FF2B5EF4-FFF2-40B4-BE49-F238E27FC236}">
              <a16:creationId xmlns:a16="http://schemas.microsoft.com/office/drawing/2014/main" id="{7E025E9E-ABD7-F1F6-95B0-EFC85DF89B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665388</xdr:colOff>
      <xdr:row>52</xdr:row>
      <xdr:rowOff>1361</xdr:rowOff>
    </xdr:from>
    <xdr:to>
      <xdr:col>10</xdr:col>
      <xdr:colOff>2141764</xdr:colOff>
      <xdr:row>73</xdr:row>
      <xdr:rowOff>19050</xdr:rowOff>
    </xdr:to>
    <xdr:graphicFrame macro="">
      <xdr:nvGraphicFramePr>
        <xdr:cNvPr id="5" name="Chart 4">
          <a:extLst>
            <a:ext uri="{FF2B5EF4-FFF2-40B4-BE49-F238E27FC236}">
              <a16:creationId xmlns:a16="http://schemas.microsoft.com/office/drawing/2014/main" id="{D1418764-8DEA-9C02-3DD7-EB3E5164F25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657224</xdr:colOff>
      <xdr:row>74</xdr:row>
      <xdr:rowOff>27212</xdr:rowOff>
    </xdr:from>
    <xdr:to>
      <xdr:col>10</xdr:col>
      <xdr:colOff>2000249</xdr:colOff>
      <xdr:row>90</xdr:row>
      <xdr:rowOff>21771</xdr:rowOff>
    </xdr:to>
    <xdr:graphicFrame macro="">
      <xdr:nvGraphicFramePr>
        <xdr:cNvPr id="6" name="Chart 5">
          <a:extLst>
            <a:ext uri="{FF2B5EF4-FFF2-40B4-BE49-F238E27FC236}">
              <a16:creationId xmlns:a16="http://schemas.microsoft.com/office/drawing/2014/main" id="{6A1A3D3A-66CA-F674-1C23-AF5F1651BE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704850</xdr:colOff>
      <xdr:row>87</xdr:row>
      <xdr:rowOff>95250</xdr:rowOff>
    </xdr:from>
    <xdr:to>
      <xdr:col>5</xdr:col>
      <xdr:colOff>693964</xdr:colOff>
      <xdr:row>112</xdr:row>
      <xdr:rowOff>0</xdr:rowOff>
    </xdr:to>
    <xdr:graphicFrame macro="">
      <xdr:nvGraphicFramePr>
        <xdr:cNvPr id="8" name="Chart 7">
          <a:extLst>
            <a:ext uri="{FF2B5EF4-FFF2-40B4-BE49-F238E27FC236}">
              <a16:creationId xmlns:a16="http://schemas.microsoft.com/office/drawing/2014/main" id="{AB98EAE9-D17B-F23C-4C0B-3925227B76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3344334</xdr:colOff>
      <xdr:row>48</xdr:row>
      <xdr:rowOff>140456</xdr:rowOff>
    </xdr:from>
    <xdr:to>
      <xdr:col>4</xdr:col>
      <xdr:colOff>1608667</xdr:colOff>
      <xdr:row>72</xdr:row>
      <xdr:rowOff>130780</xdr:rowOff>
    </xdr:to>
    <xdr:graphicFrame macro="">
      <xdr:nvGraphicFramePr>
        <xdr:cNvPr id="5" name="Chart 4">
          <a:extLst>
            <a:ext uri="{FF2B5EF4-FFF2-40B4-BE49-F238E27FC236}">
              <a16:creationId xmlns:a16="http://schemas.microsoft.com/office/drawing/2014/main" id="{D48622E6-3B8D-68BB-5E8B-7F6370FD9BC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71F53-4FD6-4FC0-871D-DA7B838E5906}">
  <dimension ref="A1:O121"/>
  <sheetViews>
    <sheetView topLeftCell="A13" zoomScale="70" zoomScaleNormal="70" workbookViewId="0">
      <selection activeCell="C78" sqref="C78"/>
    </sheetView>
  </sheetViews>
  <sheetFormatPr defaultRowHeight="14.6" x14ac:dyDescent="0.4"/>
  <cols>
    <col min="1" max="1" width="110.61328125" customWidth="1"/>
    <col min="2" max="2" width="37.61328125" customWidth="1"/>
    <col min="3" max="3" width="53.921875" bestFit="1" customWidth="1"/>
    <col min="4" max="4" width="30.3828125" customWidth="1"/>
    <col min="5" max="5" width="31.23046875" customWidth="1"/>
    <col min="6" max="6" width="28.07421875" customWidth="1"/>
    <col min="9" max="9" width="9.23046875" customWidth="1"/>
    <col min="10" max="10" width="63.3828125" customWidth="1"/>
    <col min="11" max="11" width="30.84375" customWidth="1"/>
    <col min="12" max="12" width="74.84375" customWidth="1"/>
  </cols>
  <sheetData>
    <row r="1" spans="1:15" ht="23.15" x14ac:dyDescent="0.4">
      <c r="A1" s="182" t="s">
        <v>112</v>
      </c>
      <c r="B1" s="182"/>
      <c r="C1" s="182"/>
      <c r="J1" s="178"/>
      <c r="K1" s="178"/>
      <c r="L1" s="178"/>
      <c r="M1" s="178"/>
      <c r="N1" s="178"/>
      <c r="O1" s="178"/>
    </row>
    <row r="2" spans="1:15" x14ac:dyDescent="0.4">
      <c r="A2" s="6" t="s">
        <v>0</v>
      </c>
      <c r="B2" s="183" t="s">
        <v>37</v>
      </c>
      <c r="C2" s="183"/>
      <c r="J2" s="179"/>
      <c r="K2" s="179"/>
      <c r="L2" s="180"/>
      <c r="M2" s="180"/>
      <c r="N2" s="180"/>
      <c r="O2" s="180"/>
    </row>
    <row r="3" spans="1:15" x14ac:dyDescent="0.4">
      <c r="A3" s="6" t="s">
        <v>11</v>
      </c>
      <c r="B3" s="6" t="s">
        <v>18</v>
      </c>
      <c r="C3" s="6" t="s">
        <v>9</v>
      </c>
      <c r="J3" s="179"/>
      <c r="K3" s="179"/>
      <c r="L3" s="3"/>
      <c r="M3" s="3"/>
      <c r="N3" s="3"/>
      <c r="O3" s="3"/>
    </row>
    <row r="4" spans="1:15" x14ac:dyDescent="0.4">
      <c r="A4" s="6" t="s">
        <v>12</v>
      </c>
      <c r="B4" s="6" t="s">
        <v>13</v>
      </c>
      <c r="C4" s="6" t="s">
        <v>10</v>
      </c>
      <c r="J4" s="179"/>
      <c r="K4" s="179"/>
      <c r="L4" s="3"/>
      <c r="M4" s="3"/>
      <c r="N4" s="3"/>
      <c r="O4" s="3"/>
    </row>
    <row r="5" spans="1:15" x14ac:dyDescent="0.4">
      <c r="A5" s="6" t="s">
        <v>14</v>
      </c>
      <c r="B5" s="183" t="s">
        <v>15</v>
      </c>
      <c r="C5" s="183"/>
      <c r="J5" s="179"/>
      <c r="K5" s="179"/>
      <c r="L5" s="12"/>
      <c r="M5" s="12"/>
      <c r="N5" s="12"/>
      <c r="O5" s="12"/>
    </row>
    <row r="6" spans="1:15" x14ac:dyDescent="0.4">
      <c r="A6" s="184" t="s">
        <v>36</v>
      </c>
      <c r="B6" s="183" t="s">
        <v>39</v>
      </c>
      <c r="C6" s="183"/>
      <c r="J6" s="181"/>
      <c r="K6" s="181"/>
      <c r="L6" s="13"/>
      <c r="M6" s="13"/>
      <c r="N6" s="13"/>
      <c r="O6" s="13"/>
    </row>
    <row r="7" spans="1:15" ht="23.15" x14ac:dyDescent="0.4">
      <c r="A7" s="185"/>
      <c r="B7" s="183" t="s">
        <v>40</v>
      </c>
      <c r="C7" s="183"/>
      <c r="J7" s="178"/>
      <c r="K7" s="178"/>
      <c r="L7" s="178"/>
      <c r="M7" s="178"/>
      <c r="N7" s="178"/>
      <c r="O7" s="178"/>
    </row>
    <row r="8" spans="1:15" x14ac:dyDescent="0.4">
      <c r="A8" s="185"/>
      <c r="B8" s="183" t="s">
        <v>41</v>
      </c>
      <c r="C8" s="183"/>
      <c r="J8" s="179"/>
      <c r="K8" s="179"/>
      <c r="L8" s="180"/>
      <c r="M8" s="180"/>
      <c r="N8" s="180"/>
      <c r="O8" s="180"/>
    </row>
    <row r="9" spans="1:15" x14ac:dyDescent="0.4">
      <c r="A9" s="186"/>
      <c r="B9" s="183" t="s">
        <v>42</v>
      </c>
      <c r="C9" s="183"/>
      <c r="J9" s="179"/>
      <c r="K9" s="179"/>
      <c r="L9" s="3"/>
      <c r="M9" s="3"/>
      <c r="N9" s="3"/>
      <c r="O9" s="3"/>
    </row>
    <row r="10" spans="1:15" x14ac:dyDescent="0.4">
      <c r="A10" s="183" t="s">
        <v>17</v>
      </c>
      <c r="B10" s="6" t="s">
        <v>1</v>
      </c>
      <c r="C10" s="6" t="s">
        <v>19</v>
      </c>
      <c r="J10" s="179"/>
      <c r="K10" s="179"/>
      <c r="L10" s="3"/>
      <c r="M10" s="3"/>
      <c r="N10" s="3"/>
      <c r="O10" s="3"/>
    </row>
    <row r="11" spans="1:15" x14ac:dyDescent="0.4">
      <c r="A11" s="183"/>
      <c r="B11" s="6" t="s">
        <v>2</v>
      </c>
      <c r="C11" s="6" t="s">
        <v>20</v>
      </c>
      <c r="J11" s="179"/>
      <c r="K11" s="179"/>
      <c r="L11" s="12"/>
      <c r="M11" s="12"/>
      <c r="N11" s="12"/>
      <c r="O11" s="12"/>
    </row>
    <row r="12" spans="1:15" x14ac:dyDescent="0.4">
      <c r="A12" s="183"/>
      <c r="B12" s="6" t="s">
        <v>3</v>
      </c>
      <c r="C12" s="6" t="s">
        <v>21</v>
      </c>
      <c r="J12" s="181"/>
      <c r="K12" s="181"/>
      <c r="L12" s="13"/>
      <c r="M12" s="13"/>
      <c r="N12" s="13"/>
      <c r="O12" s="13"/>
    </row>
    <row r="13" spans="1:15" ht="23.15" x14ac:dyDescent="0.4">
      <c r="A13" s="183"/>
      <c r="B13" s="6" t="s">
        <v>4</v>
      </c>
      <c r="C13" s="6" t="s">
        <v>22</v>
      </c>
      <c r="J13" s="178"/>
      <c r="K13" s="178"/>
      <c r="L13" s="178"/>
      <c r="M13" s="178"/>
      <c r="N13" s="178"/>
      <c r="O13" s="178"/>
    </row>
    <row r="14" spans="1:15" x14ac:dyDescent="0.4">
      <c r="A14" s="10" t="s">
        <v>43</v>
      </c>
      <c r="B14" s="192" t="s">
        <v>108</v>
      </c>
      <c r="C14" s="193"/>
      <c r="J14" s="179"/>
      <c r="K14" s="179"/>
      <c r="L14" s="180"/>
      <c r="M14" s="180"/>
      <c r="N14" s="180"/>
      <c r="O14" s="180"/>
    </row>
    <row r="15" spans="1:15" x14ac:dyDescent="0.4">
      <c r="J15" s="179"/>
      <c r="K15" s="179"/>
      <c r="L15" s="3"/>
      <c r="M15" s="3"/>
      <c r="N15" s="3"/>
      <c r="O15" s="3"/>
    </row>
    <row r="16" spans="1:15" x14ac:dyDescent="0.4">
      <c r="J16" s="179"/>
      <c r="K16" s="179"/>
      <c r="L16" s="3"/>
      <c r="M16" s="3"/>
      <c r="N16" s="3"/>
      <c r="O16" s="3"/>
    </row>
    <row r="17" spans="1:15" x14ac:dyDescent="0.4">
      <c r="J17" s="179"/>
      <c r="K17" s="179"/>
      <c r="L17" s="12"/>
      <c r="M17" s="12"/>
      <c r="N17" s="12"/>
      <c r="O17" s="12"/>
    </row>
    <row r="18" spans="1:15" ht="23.15" x14ac:dyDescent="0.4">
      <c r="A18" s="189" t="s">
        <v>26</v>
      </c>
      <c r="B18" s="189"/>
      <c r="C18" s="189"/>
      <c r="D18" s="189"/>
      <c r="E18" s="189"/>
      <c r="F18" s="189"/>
      <c r="J18" s="181"/>
      <c r="K18" s="181"/>
      <c r="L18" s="13"/>
      <c r="M18" s="13"/>
      <c r="N18" s="13"/>
      <c r="O18" s="13"/>
    </row>
    <row r="19" spans="1:15" ht="23.15" x14ac:dyDescent="0.4">
      <c r="A19" s="190" t="s">
        <v>23</v>
      </c>
      <c r="B19" s="190"/>
      <c r="C19" s="191" t="s">
        <v>16</v>
      </c>
      <c r="D19" s="191"/>
      <c r="E19" s="191"/>
      <c r="F19" s="191"/>
      <c r="J19" s="178"/>
      <c r="K19" s="178"/>
      <c r="L19" s="178"/>
      <c r="M19" s="178"/>
      <c r="N19" s="178"/>
      <c r="O19" s="178"/>
    </row>
    <row r="20" spans="1:15" x14ac:dyDescent="0.4">
      <c r="A20" s="183" t="s">
        <v>24</v>
      </c>
      <c r="B20" s="183"/>
      <c r="C20" s="7" t="s">
        <v>1</v>
      </c>
      <c r="D20" s="7" t="s">
        <v>2</v>
      </c>
      <c r="E20" s="7" t="s">
        <v>3</v>
      </c>
      <c r="F20" s="7" t="s">
        <v>4</v>
      </c>
      <c r="J20" s="179"/>
      <c r="K20" s="179"/>
      <c r="L20" s="180"/>
      <c r="M20" s="180"/>
      <c r="N20" s="180"/>
      <c r="O20" s="180"/>
    </row>
    <row r="21" spans="1:15" x14ac:dyDescent="0.4">
      <c r="A21" s="190" t="s">
        <v>17</v>
      </c>
      <c r="B21" s="190"/>
      <c r="C21" s="9" t="s">
        <v>19</v>
      </c>
      <c r="D21" s="9" t="s">
        <v>20</v>
      </c>
      <c r="E21" s="9" t="s">
        <v>21</v>
      </c>
      <c r="F21" s="9" t="s">
        <v>22</v>
      </c>
      <c r="J21" s="179"/>
      <c r="K21" s="179"/>
      <c r="L21" s="3"/>
      <c r="M21" s="3"/>
      <c r="N21" s="3"/>
      <c r="O21" s="3"/>
    </row>
    <row r="22" spans="1:15" x14ac:dyDescent="0.4">
      <c r="A22" s="183" t="s">
        <v>47</v>
      </c>
      <c r="B22" s="11" t="s">
        <v>44</v>
      </c>
      <c r="C22" s="14">
        <v>57.659399999999998</v>
      </c>
      <c r="D22" s="14">
        <v>84.051599999999993</v>
      </c>
      <c r="E22" s="10">
        <v>112.86</v>
      </c>
      <c r="F22" s="14">
        <v>107.732</v>
      </c>
    </row>
    <row r="23" spans="1:15" x14ac:dyDescent="0.4">
      <c r="A23" s="183"/>
      <c r="B23" s="11" t="s">
        <v>45</v>
      </c>
      <c r="C23" s="14">
        <v>55.195599999999999</v>
      </c>
      <c r="D23" s="14">
        <v>95.823099999999997</v>
      </c>
      <c r="E23" s="14">
        <v>120.925</v>
      </c>
      <c r="F23" s="14">
        <v>115.604</v>
      </c>
    </row>
    <row r="24" spans="1:15" x14ac:dyDescent="0.4">
      <c r="A24" s="183"/>
      <c r="B24" s="11" t="s">
        <v>46</v>
      </c>
      <c r="C24" s="14">
        <v>46.674900000000001</v>
      </c>
      <c r="D24" s="14">
        <v>111.062</v>
      </c>
      <c r="E24" s="14">
        <v>109.67100000000001</v>
      </c>
      <c r="F24" s="14">
        <v>104.071</v>
      </c>
    </row>
    <row r="25" spans="1:15" ht="23.15" x14ac:dyDescent="0.4">
      <c r="A25" s="189" t="s">
        <v>27</v>
      </c>
      <c r="B25" s="189"/>
      <c r="C25" s="189"/>
      <c r="D25" s="189"/>
      <c r="E25" s="189"/>
      <c r="F25" s="189"/>
    </row>
    <row r="26" spans="1:15" x14ac:dyDescent="0.4">
      <c r="A26" s="190" t="s">
        <v>23</v>
      </c>
      <c r="B26" s="190"/>
      <c r="C26" s="191" t="s">
        <v>31</v>
      </c>
      <c r="D26" s="191"/>
      <c r="E26" s="191"/>
      <c r="F26" s="191"/>
    </row>
    <row r="27" spans="1:15" x14ac:dyDescent="0.4">
      <c r="A27" s="183" t="s">
        <v>24</v>
      </c>
      <c r="B27" s="183"/>
      <c r="C27" s="7" t="s">
        <v>1</v>
      </c>
      <c r="D27" s="7" t="s">
        <v>2</v>
      </c>
      <c r="E27" s="7" t="s">
        <v>3</v>
      </c>
      <c r="F27" s="7" t="s">
        <v>4</v>
      </c>
    </row>
    <row r="28" spans="1:15" x14ac:dyDescent="0.4">
      <c r="A28" s="190" t="s">
        <v>17</v>
      </c>
      <c r="B28" s="190"/>
      <c r="C28" s="9" t="s">
        <v>19</v>
      </c>
      <c r="D28" s="9" t="s">
        <v>20</v>
      </c>
      <c r="E28" s="9" t="s">
        <v>21</v>
      </c>
      <c r="F28" s="9" t="s">
        <v>22</v>
      </c>
    </row>
    <row r="29" spans="1:15" x14ac:dyDescent="0.4">
      <c r="A29" s="183" t="s">
        <v>47</v>
      </c>
      <c r="B29" s="11" t="s">
        <v>44</v>
      </c>
      <c r="C29" s="14">
        <v>111.075</v>
      </c>
      <c r="D29" s="14">
        <v>158.31700000000001</v>
      </c>
      <c r="E29" s="14">
        <v>159.60400000000001</v>
      </c>
      <c r="F29" s="14">
        <v>152.62200000000001</v>
      </c>
    </row>
    <row r="30" spans="1:15" x14ac:dyDescent="0.4">
      <c r="A30" s="183"/>
      <c r="B30" s="11" t="s">
        <v>45</v>
      </c>
      <c r="C30" s="14">
        <v>106.49299999999999</v>
      </c>
      <c r="D30" s="14">
        <v>178.273</v>
      </c>
      <c r="E30" s="14">
        <v>170.715</v>
      </c>
      <c r="F30" s="14">
        <v>164.227</v>
      </c>
    </row>
    <row r="31" spans="1:15" x14ac:dyDescent="0.4">
      <c r="A31" s="183"/>
      <c r="B31" s="11" t="s">
        <v>46</v>
      </c>
      <c r="C31" s="14">
        <v>67.942499999999995</v>
      </c>
      <c r="D31" s="14">
        <v>179.56200000000001</v>
      </c>
      <c r="E31" s="14">
        <v>151.37200000000001</v>
      </c>
      <c r="F31" s="14">
        <v>144.066</v>
      </c>
    </row>
    <row r="32" spans="1:15" ht="23.15" x14ac:dyDescent="0.4">
      <c r="A32" s="189" t="s">
        <v>28</v>
      </c>
      <c r="B32" s="189"/>
      <c r="C32" s="189"/>
      <c r="D32" s="189"/>
      <c r="E32" s="189"/>
      <c r="F32" s="189"/>
    </row>
    <row r="33" spans="1:6" x14ac:dyDescent="0.4">
      <c r="A33" s="190" t="s">
        <v>23</v>
      </c>
      <c r="B33" s="190"/>
      <c r="C33" s="191" t="s">
        <v>32</v>
      </c>
      <c r="D33" s="191"/>
      <c r="E33" s="191"/>
      <c r="F33" s="191"/>
    </row>
    <row r="34" spans="1:6" x14ac:dyDescent="0.4">
      <c r="A34" s="183" t="s">
        <v>25</v>
      </c>
      <c r="B34" s="183"/>
      <c r="C34" s="7" t="s">
        <v>1</v>
      </c>
      <c r="D34" s="7" t="s">
        <v>2</v>
      </c>
      <c r="E34" s="7" t="s">
        <v>3</v>
      </c>
      <c r="F34" s="7" t="s">
        <v>4</v>
      </c>
    </row>
    <row r="35" spans="1:6" x14ac:dyDescent="0.4">
      <c r="A35" s="190" t="s">
        <v>17</v>
      </c>
      <c r="B35" s="190"/>
      <c r="C35" s="9" t="s">
        <v>19</v>
      </c>
      <c r="D35" s="9" t="s">
        <v>20</v>
      </c>
      <c r="E35" s="9" t="s">
        <v>21</v>
      </c>
      <c r="F35" s="9" t="s">
        <v>22</v>
      </c>
    </row>
    <row r="36" spans="1:6" x14ac:dyDescent="0.4">
      <c r="A36" s="183" t="s">
        <v>47</v>
      </c>
      <c r="B36" s="11" t="s">
        <v>44</v>
      </c>
      <c r="C36" s="14">
        <v>180.905</v>
      </c>
      <c r="D36" s="14">
        <v>207.36799999999999</v>
      </c>
      <c r="E36" s="14">
        <v>198.94300000000001</v>
      </c>
      <c r="F36" s="15">
        <v>193.7</v>
      </c>
    </row>
    <row r="37" spans="1:6" x14ac:dyDescent="0.4">
      <c r="A37" s="183"/>
      <c r="B37" s="11" t="s">
        <v>45</v>
      </c>
      <c r="C37" s="14">
        <v>187.80699999999999</v>
      </c>
      <c r="D37" s="14">
        <v>228.44499999999999</v>
      </c>
      <c r="E37" s="14">
        <v>213.554</v>
      </c>
      <c r="F37" s="14">
        <v>208.36699999999999</v>
      </c>
    </row>
    <row r="38" spans="1:6" x14ac:dyDescent="0.4">
      <c r="A38" s="183"/>
      <c r="B38" s="11" t="s">
        <v>46</v>
      </c>
      <c r="C38" s="14">
        <v>147.06700000000001</v>
      </c>
      <c r="D38" s="14">
        <v>211.45400000000001</v>
      </c>
      <c r="E38" s="14">
        <v>184.613</v>
      </c>
      <c r="F38" s="14">
        <v>179.78800000000001</v>
      </c>
    </row>
    <row r="39" spans="1:6" ht="23.15" x14ac:dyDescent="0.4">
      <c r="A39" s="189" t="s">
        <v>29</v>
      </c>
      <c r="B39" s="189"/>
      <c r="C39" s="189"/>
      <c r="D39" s="189"/>
      <c r="E39" s="189"/>
      <c r="F39" s="189"/>
    </row>
    <row r="40" spans="1:6" x14ac:dyDescent="0.4">
      <c r="A40" s="190" t="s">
        <v>23</v>
      </c>
      <c r="B40" s="190"/>
      <c r="C40" s="191" t="s">
        <v>32</v>
      </c>
      <c r="D40" s="191"/>
      <c r="E40" s="191"/>
      <c r="F40" s="191"/>
    </row>
    <row r="41" spans="1:6" x14ac:dyDescent="0.4">
      <c r="A41" s="183" t="s">
        <v>25</v>
      </c>
      <c r="B41" s="183"/>
      <c r="C41" s="7" t="s">
        <v>1</v>
      </c>
      <c r="D41" s="7" t="s">
        <v>2</v>
      </c>
      <c r="E41" s="7" t="s">
        <v>3</v>
      </c>
      <c r="F41" s="7" t="s">
        <v>4</v>
      </c>
    </row>
    <row r="42" spans="1:6" x14ac:dyDescent="0.4">
      <c r="A42" s="190" t="s">
        <v>17</v>
      </c>
      <c r="B42" s="190"/>
      <c r="C42" s="9" t="s">
        <v>19</v>
      </c>
      <c r="D42" s="9" t="s">
        <v>20</v>
      </c>
      <c r="E42" s="9" t="s">
        <v>21</v>
      </c>
      <c r="F42" s="9" t="s">
        <v>22</v>
      </c>
    </row>
    <row r="43" spans="1:6" x14ac:dyDescent="0.4">
      <c r="A43" s="183" t="s">
        <v>47</v>
      </c>
      <c r="B43" s="11" t="s">
        <v>44</v>
      </c>
      <c r="C43" s="14">
        <v>214.09</v>
      </c>
      <c r="D43" s="14">
        <v>214.09</v>
      </c>
      <c r="E43" s="14">
        <v>214.09</v>
      </c>
      <c r="F43" s="14">
        <v>214.09</v>
      </c>
    </row>
    <row r="44" spans="1:6" x14ac:dyDescent="0.4">
      <c r="A44" s="183"/>
      <c r="B44" s="11" t="s">
        <v>45</v>
      </c>
      <c r="C44" s="14">
        <v>229.91</v>
      </c>
      <c r="D44" s="14">
        <v>229.91</v>
      </c>
      <c r="E44" s="14">
        <v>229.91</v>
      </c>
      <c r="F44" s="14">
        <v>229.91</v>
      </c>
    </row>
    <row r="45" spans="1:6" x14ac:dyDescent="0.4">
      <c r="A45" s="183"/>
      <c r="B45" s="11" t="s">
        <v>46</v>
      </c>
      <c r="C45" s="14">
        <v>197.43100000000001</v>
      </c>
      <c r="D45" s="14">
        <v>197.43100000000001</v>
      </c>
      <c r="E45" s="14">
        <v>197.43100000000001</v>
      </c>
      <c r="F45" s="14">
        <v>197.43100000000001</v>
      </c>
    </row>
    <row r="50" spans="1:6" x14ac:dyDescent="0.4">
      <c r="A50" s="188" t="s">
        <v>106</v>
      </c>
      <c r="B50" s="187" t="s">
        <v>47</v>
      </c>
      <c r="C50" s="187"/>
      <c r="D50" s="187"/>
      <c r="E50" s="187"/>
      <c r="F50" s="187"/>
    </row>
    <row r="51" spans="1:6" x14ac:dyDescent="0.4">
      <c r="A51" s="188"/>
      <c r="B51" s="53" t="s">
        <v>105</v>
      </c>
      <c r="C51" s="53" t="s">
        <v>1</v>
      </c>
      <c r="D51" s="53" t="s">
        <v>2</v>
      </c>
      <c r="E51" s="53" t="s">
        <v>3</v>
      </c>
      <c r="F51" s="53" t="s">
        <v>4</v>
      </c>
    </row>
    <row r="52" spans="1:6" x14ac:dyDescent="0.4">
      <c r="A52" s="188"/>
      <c r="B52" s="54" t="s">
        <v>44</v>
      </c>
      <c r="C52" s="14">
        <v>57.659399999999998</v>
      </c>
      <c r="D52" s="14">
        <v>84.051599999999993</v>
      </c>
      <c r="E52" s="10">
        <v>112.86</v>
      </c>
      <c r="F52" s="14">
        <v>107.732</v>
      </c>
    </row>
    <row r="53" spans="1:6" x14ac:dyDescent="0.4">
      <c r="A53" s="188"/>
      <c r="B53" s="54" t="s">
        <v>45</v>
      </c>
      <c r="C53" s="14">
        <v>55.195599999999999</v>
      </c>
      <c r="D53" s="14">
        <v>95.823099999999997</v>
      </c>
      <c r="E53" s="14">
        <v>120.925</v>
      </c>
      <c r="F53" s="14">
        <v>115.604</v>
      </c>
    </row>
    <row r="54" spans="1:6" x14ac:dyDescent="0.4">
      <c r="A54" s="188"/>
      <c r="B54" s="54" t="s">
        <v>46</v>
      </c>
      <c r="C54" s="14">
        <v>46.674900000000001</v>
      </c>
      <c r="D54" s="14">
        <v>111.062</v>
      </c>
      <c r="E54" s="14">
        <v>109.67100000000001</v>
      </c>
      <c r="F54" s="14">
        <v>104.071</v>
      </c>
    </row>
    <row r="57" spans="1:6" x14ac:dyDescent="0.4">
      <c r="A57" s="188" t="s">
        <v>33</v>
      </c>
      <c r="B57" s="187" t="s">
        <v>47</v>
      </c>
      <c r="C57" s="187"/>
      <c r="D57" s="187"/>
      <c r="E57" s="187"/>
      <c r="F57" s="187"/>
    </row>
    <row r="58" spans="1:6" x14ac:dyDescent="0.4">
      <c r="A58" s="188"/>
      <c r="B58" s="53" t="s">
        <v>105</v>
      </c>
      <c r="C58" s="53" t="s">
        <v>1</v>
      </c>
      <c r="D58" s="53" t="s">
        <v>2</v>
      </c>
      <c r="E58" s="53" t="s">
        <v>3</v>
      </c>
      <c r="F58" s="53" t="s">
        <v>4</v>
      </c>
    </row>
    <row r="59" spans="1:6" x14ac:dyDescent="0.4">
      <c r="A59" s="188"/>
      <c r="B59" s="54" t="s">
        <v>44</v>
      </c>
      <c r="C59" s="14">
        <v>111.075</v>
      </c>
      <c r="D59" s="14">
        <v>158.31700000000001</v>
      </c>
      <c r="E59" s="14">
        <v>159.60400000000001</v>
      </c>
      <c r="F59" s="14">
        <v>152.62200000000001</v>
      </c>
    </row>
    <row r="60" spans="1:6" x14ac:dyDescent="0.4">
      <c r="A60" s="188"/>
      <c r="B60" s="54" t="s">
        <v>45</v>
      </c>
      <c r="C60" s="14">
        <v>106.49299999999999</v>
      </c>
      <c r="D60" s="14">
        <v>178.273</v>
      </c>
      <c r="E60" s="14">
        <v>170.715</v>
      </c>
      <c r="F60" s="14">
        <v>164.227</v>
      </c>
    </row>
    <row r="61" spans="1:6" x14ac:dyDescent="0.4">
      <c r="A61" s="188"/>
      <c r="B61" s="54" t="s">
        <v>46</v>
      </c>
      <c r="C61" s="14">
        <v>67.942499999999995</v>
      </c>
      <c r="D61" s="14">
        <v>179.56200000000001</v>
      </c>
      <c r="E61" s="14">
        <v>151.37200000000001</v>
      </c>
      <c r="F61" s="14">
        <v>144.066</v>
      </c>
    </row>
    <row r="64" spans="1:6" x14ac:dyDescent="0.4">
      <c r="A64" s="188" t="s">
        <v>34</v>
      </c>
      <c r="B64" s="187" t="s">
        <v>47</v>
      </c>
      <c r="C64" s="187"/>
      <c r="D64" s="187"/>
      <c r="E64" s="187"/>
      <c r="F64" s="187"/>
    </row>
    <row r="65" spans="1:6" x14ac:dyDescent="0.4">
      <c r="A65" s="188"/>
      <c r="B65" s="53" t="s">
        <v>105</v>
      </c>
      <c r="C65" s="53" t="s">
        <v>1</v>
      </c>
      <c r="D65" s="53" t="s">
        <v>2</v>
      </c>
      <c r="E65" s="53" t="s">
        <v>3</v>
      </c>
      <c r="F65" s="53" t="s">
        <v>4</v>
      </c>
    </row>
    <row r="66" spans="1:6" x14ac:dyDescent="0.4">
      <c r="A66" s="188"/>
      <c r="B66" s="54" t="s">
        <v>44</v>
      </c>
      <c r="C66" s="14">
        <v>180.905</v>
      </c>
      <c r="D66" s="14">
        <v>207.36799999999999</v>
      </c>
      <c r="E66" s="14">
        <v>198.94300000000001</v>
      </c>
      <c r="F66" s="15">
        <v>193.7</v>
      </c>
    </row>
    <row r="67" spans="1:6" x14ac:dyDescent="0.4">
      <c r="A67" s="188"/>
      <c r="B67" s="54" t="s">
        <v>45</v>
      </c>
      <c r="C67" s="14">
        <v>187.80699999999999</v>
      </c>
      <c r="D67" s="14">
        <v>228.44499999999999</v>
      </c>
      <c r="E67" s="14">
        <v>213.554</v>
      </c>
      <c r="F67" s="14">
        <v>208.36699999999999</v>
      </c>
    </row>
    <row r="68" spans="1:6" x14ac:dyDescent="0.4">
      <c r="A68" s="188"/>
      <c r="B68" s="54" t="s">
        <v>46</v>
      </c>
      <c r="C68" s="14">
        <v>147.06700000000001</v>
      </c>
      <c r="D68" s="14">
        <v>211.45400000000001</v>
      </c>
      <c r="E68" s="14">
        <v>184.613</v>
      </c>
      <c r="F68" s="14">
        <v>179.78800000000001</v>
      </c>
    </row>
    <row r="71" spans="1:6" x14ac:dyDescent="0.4">
      <c r="A71" s="188" t="s">
        <v>35</v>
      </c>
      <c r="B71" s="187" t="s">
        <v>47</v>
      </c>
      <c r="C71" s="187"/>
      <c r="D71" s="187"/>
      <c r="E71" s="187"/>
      <c r="F71" s="187"/>
    </row>
    <row r="72" spans="1:6" x14ac:dyDescent="0.4">
      <c r="A72" s="188"/>
      <c r="B72" s="53" t="s">
        <v>105</v>
      </c>
      <c r="C72" s="53" t="s">
        <v>1</v>
      </c>
      <c r="D72" s="53" t="s">
        <v>2</v>
      </c>
      <c r="E72" s="53" t="s">
        <v>3</v>
      </c>
      <c r="F72" s="53" t="s">
        <v>4</v>
      </c>
    </row>
    <row r="73" spans="1:6" x14ac:dyDescent="0.4">
      <c r="A73" s="188"/>
      <c r="B73" s="54" t="s">
        <v>44</v>
      </c>
      <c r="C73" s="14">
        <v>214.09</v>
      </c>
      <c r="D73" s="14">
        <v>214.09</v>
      </c>
      <c r="E73" s="14">
        <v>214.09</v>
      </c>
      <c r="F73" s="14">
        <v>214.09</v>
      </c>
    </row>
    <row r="74" spans="1:6" x14ac:dyDescent="0.4">
      <c r="A74" s="188"/>
      <c r="B74" s="54" t="s">
        <v>45</v>
      </c>
      <c r="C74" s="14">
        <v>229.91</v>
      </c>
      <c r="D74" s="14">
        <v>229.91</v>
      </c>
      <c r="E74" s="14">
        <v>229.91</v>
      </c>
      <c r="F74" s="14">
        <v>229.91</v>
      </c>
    </row>
    <row r="75" spans="1:6" x14ac:dyDescent="0.4">
      <c r="A75" s="188"/>
      <c r="B75" s="54" t="s">
        <v>46</v>
      </c>
      <c r="C75" s="14">
        <v>197.43100000000001</v>
      </c>
      <c r="D75" s="14">
        <v>197.43100000000001</v>
      </c>
      <c r="E75" s="14">
        <v>197.43100000000001</v>
      </c>
      <c r="F75" s="14">
        <v>197.43100000000001</v>
      </c>
    </row>
    <row r="76" spans="1:6" x14ac:dyDescent="0.4">
      <c r="B76" s="1"/>
    </row>
    <row r="81" spans="1:6" x14ac:dyDescent="0.4">
      <c r="B81" s="57" t="s">
        <v>30</v>
      </c>
      <c r="C81" s="194" t="s">
        <v>107</v>
      </c>
      <c r="D81" s="194"/>
      <c r="E81" s="194"/>
      <c r="F81" s="194"/>
    </row>
    <row r="82" spans="1:6" x14ac:dyDescent="0.4">
      <c r="B82" s="58"/>
      <c r="C82" s="56" t="s">
        <v>1</v>
      </c>
      <c r="D82" s="56" t="s">
        <v>2</v>
      </c>
      <c r="E82" s="56" t="s">
        <v>3</v>
      </c>
      <c r="F82" s="56" t="s">
        <v>4</v>
      </c>
    </row>
    <row r="83" spans="1:6" x14ac:dyDescent="0.4">
      <c r="A83" s="59"/>
      <c r="B83" s="55" t="s">
        <v>38</v>
      </c>
      <c r="C83" s="14">
        <f>SUM(C52:C54)</f>
        <v>159.5299</v>
      </c>
      <c r="D83" s="14">
        <f t="shared" ref="D83:F83" si="0">SUM(D52:D54)</f>
        <v>290.93669999999997</v>
      </c>
      <c r="E83" s="14">
        <f t="shared" si="0"/>
        <v>343.45600000000002</v>
      </c>
      <c r="F83" s="14">
        <f t="shared" si="0"/>
        <v>327.40700000000004</v>
      </c>
    </row>
    <row r="84" spans="1:6" x14ac:dyDescent="0.4">
      <c r="B84" s="55" t="s">
        <v>33</v>
      </c>
      <c r="C84" s="14">
        <f>SUM(C59:C61)</f>
        <v>285.51049999999998</v>
      </c>
      <c r="D84" s="14">
        <f t="shared" ref="D84:F84" si="1">SUM(D59:D61)</f>
        <v>516.15200000000004</v>
      </c>
      <c r="E84" s="14">
        <f t="shared" si="1"/>
        <v>481.69100000000003</v>
      </c>
      <c r="F84" s="14">
        <f t="shared" si="1"/>
        <v>460.91500000000008</v>
      </c>
    </row>
    <row r="85" spans="1:6" x14ac:dyDescent="0.4">
      <c r="B85" s="55" t="s">
        <v>34</v>
      </c>
      <c r="C85" s="14">
        <f>SUM(C66:C68)</f>
        <v>515.779</v>
      </c>
      <c r="D85" s="14">
        <f t="shared" ref="D85:F85" si="2">SUM(D66:D68)</f>
        <v>647.26700000000005</v>
      </c>
      <c r="E85" s="14">
        <f t="shared" si="2"/>
        <v>597.11</v>
      </c>
      <c r="F85" s="14">
        <f t="shared" si="2"/>
        <v>581.85500000000002</v>
      </c>
    </row>
    <row r="86" spans="1:6" x14ac:dyDescent="0.4">
      <c r="B86" s="55" t="s">
        <v>35</v>
      </c>
      <c r="C86" s="14">
        <f>SUM(C73:C75)</f>
        <v>641.43100000000004</v>
      </c>
      <c r="D86" s="14">
        <f t="shared" ref="D86:F86" si="3">SUM(D73:D75)</f>
        <v>641.43100000000004</v>
      </c>
      <c r="E86" s="14">
        <f t="shared" si="3"/>
        <v>641.43100000000004</v>
      </c>
      <c r="F86" s="14">
        <f t="shared" si="3"/>
        <v>641.43100000000004</v>
      </c>
    </row>
    <row r="117" spans="2:6" x14ac:dyDescent="0.4">
      <c r="B117" s="3"/>
      <c r="C117" s="62"/>
      <c r="D117" s="62"/>
      <c r="E117" s="3"/>
      <c r="F117" s="63"/>
    </row>
    <row r="118" spans="2:6" x14ac:dyDescent="0.4">
      <c r="B118" s="3"/>
      <c r="C118" s="62"/>
      <c r="D118" s="62"/>
      <c r="E118" s="3"/>
      <c r="F118" s="63"/>
    </row>
    <row r="119" spans="2:6" x14ac:dyDescent="0.4">
      <c r="B119" s="3"/>
      <c r="C119" s="62"/>
      <c r="D119" s="62"/>
      <c r="E119" s="3"/>
      <c r="F119" s="63"/>
    </row>
    <row r="120" spans="2:6" x14ac:dyDescent="0.4">
      <c r="B120" s="3"/>
      <c r="C120" s="62"/>
      <c r="D120" s="62"/>
      <c r="E120" s="3"/>
      <c r="F120" s="63"/>
    </row>
    <row r="121" spans="2:6" x14ac:dyDescent="0.4">
      <c r="B121" s="3"/>
      <c r="C121" s="62"/>
      <c r="D121" s="62"/>
      <c r="E121" s="3"/>
      <c r="F121" s="63"/>
    </row>
  </sheetData>
  <mergeCells count="68">
    <mergeCell ref="A71:A75"/>
    <mergeCell ref="B71:F71"/>
    <mergeCell ref="C81:F81"/>
    <mergeCell ref="A20:B20"/>
    <mergeCell ref="A21:B21"/>
    <mergeCell ref="A22:A24"/>
    <mergeCell ref="A25:F25"/>
    <mergeCell ref="A64:A68"/>
    <mergeCell ref="B64:F64"/>
    <mergeCell ref="A40:B40"/>
    <mergeCell ref="C40:F40"/>
    <mergeCell ref="A41:B41"/>
    <mergeCell ref="A42:B42"/>
    <mergeCell ref="A43:A45"/>
    <mergeCell ref="A57:A61"/>
    <mergeCell ref="B57:F57"/>
    <mergeCell ref="A33:B33"/>
    <mergeCell ref="C33:F33"/>
    <mergeCell ref="A34:B34"/>
    <mergeCell ref="A35:B35"/>
    <mergeCell ref="A36:A38"/>
    <mergeCell ref="B50:F50"/>
    <mergeCell ref="A50:A54"/>
    <mergeCell ref="B8:C8"/>
    <mergeCell ref="B9:C9"/>
    <mergeCell ref="A10:A13"/>
    <mergeCell ref="A18:F18"/>
    <mergeCell ref="A19:B19"/>
    <mergeCell ref="C19:F19"/>
    <mergeCell ref="B14:C14"/>
    <mergeCell ref="A39:F39"/>
    <mergeCell ref="A26:B26"/>
    <mergeCell ref="C26:F26"/>
    <mergeCell ref="A27:B27"/>
    <mergeCell ref="A28:B28"/>
    <mergeCell ref="A29:A31"/>
    <mergeCell ref="A32:F32"/>
    <mergeCell ref="J21:K21"/>
    <mergeCell ref="A1:C1"/>
    <mergeCell ref="B2:C2"/>
    <mergeCell ref="B5:C5"/>
    <mergeCell ref="A6:A9"/>
    <mergeCell ref="B6:C6"/>
    <mergeCell ref="B7:C7"/>
    <mergeCell ref="J16:K16"/>
    <mergeCell ref="J17:K17"/>
    <mergeCell ref="J18:K18"/>
    <mergeCell ref="J19:O19"/>
    <mergeCell ref="J20:K20"/>
    <mergeCell ref="L20:O20"/>
    <mergeCell ref="J15:K15"/>
    <mergeCell ref="J6:K6"/>
    <mergeCell ref="J7:O7"/>
    <mergeCell ref="J12:K12"/>
    <mergeCell ref="J13:O13"/>
    <mergeCell ref="J14:K14"/>
    <mergeCell ref="L14:O14"/>
    <mergeCell ref="J5:K5"/>
    <mergeCell ref="J8:K8"/>
    <mergeCell ref="L8:O8"/>
    <mergeCell ref="J9:K9"/>
    <mergeCell ref="J10:K10"/>
    <mergeCell ref="J11:K11"/>
    <mergeCell ref="J1:O1"/>
    <mergeCell ref="J2:K2"/>
    <mergeCell ref="L2:O2"/>
    <mergeCell ref="J3:K3"/>
    <mergeCell ref="J4:K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03CA8-D537-4026-AC2D-828D8041F71F}">
  <dimension ref="A1:V80"/>
  <sheetViews>
    <sheetView topLeftCell="O1" zoomScale="70" zoomScaleNormal="70" workbookViewId="0">
      <selection activeCell="V82" sqref="V82"/>
    </sheetView>
  </sheetViews>
  <sheetFormatPr defaultRowHeight="14.6" x14ac:dyDescent="0.4"/>
  <cols>
    <col min="1" max="1" width="58.921875" bestFit="1" customWidth="1"/>
    <col min="2" max="2" width="245.23046875" bestFit="1" customWidth="1"/>
    <col min="3" max="3" width="58" bestFit="1" customWidth="1"/>
    <col min="4" max="4" width="9.53515625" bestFit="1" customWidth="1"/>
    <col min="5" max="5" width="26.07421875" bestFit="1" customWidth="1"/>
    <col min="6" max="6" width="23.3828125" customWidth="1"/>
    <col min="7" max="7" width="32" customWidth="1"/>
    <col min="8" max="8" width="47.4609375" customWidth="1"/>
    <col min="9" max="9" width="33.61328125" customWidth="1"/>
    <col min="10" max="10" width="46.69140625" customWidth="1"/>
    <col min="11" max="11" width="23.53515625" customWidth="1"/>
    <col min="12" max="12" width="46.61328125" customWidth="1"/>
    <col min="13" max="13" width="29.61328125" customWidth="1"/>
    <col min="14" max="14" width="48.53515625" customWidth="1"/>
    <col min="15" max="15" width="31.61328125" customWidth="1"/>
    <col min="16" max="16" width="26.23046875" customWidth="1"/>
    <col min="17" max="17" width="66.07421875" bestFit="1" customWidth="1"/>
    <col min="18" max="18" width="66.3046875" bestFit="1" customWidth="1"/>
    <col min="19" max="19" width="28.07421875" customWidth="1"/>
    <col min="20" max="20" width="20.3046875" customWidth="1"/>
    <col min="21" max="21" width="66.07421875" bestFit="1" customWidth="1"/>
    <col min="22" max="22" width="66.3046875" bestFit="1" customWidth="1"/>
  </cols>
  <sheetData>
    <row r="1" spans="1:22" ht="47.6" customHeight="1" x14ac:dyDescent="0.4">
      <c r="N1" s="213" t="s">
        <v>172</v>
      </c>
      <c r="O1" s="214"/>
      <c r="P1" s="214"/>
      <c r="Q1" s="214"/>
      <c r="R1" s="214"/>
    </row>
    <row r="2" spans="1:22" x14ac:dyDescent="0.4">
      <c r="A2" s="197" t="s">
        <v>66</v>
      </c>
      <c r="B2" s="198" t="s">
        <v>52</v>
      </c>
      <c r="C2" s="201" t="s">
        <v>78</v>
      </c>
      <c r="D2" s="202"/>
      <c r="E2" s="203"/>
      <c r="F2" s="197" t="s">
        <v>51</v>
      </c>
      <c r="G2" s="197"/>
      <c r="H2" s="197"/>
      <c r="I2" s="197"/>
      <c r="J2" s="197"/>
      <c r="K2" s="197"/>
      <c r="L2" s="197"/>
      <c r="M2" s="197"/>
      <c r="N2" s="197"/>
      <c r="O2" s="197"/>
      <c r="P2" s="197"/>
      <c r="Q2" s="197"/>
      <c r="R2" s="197"/>
      <c r="S2" s="197"/>
      <c r="T2" s="197"/>
      <c r="U2" s="197"/>
      <c r="V2" s="197"/>
    </row>
    <row r="3" spans="1:22" x14ac:dyDescent="0.4">
      <c r="A3" s="197"/>
      <c r="B3" s="199"/>
      <c r="C3" s="204"/>
      <c r="D3" s="205"/>
      <c r="E3" s="206"/>
      <c r="F3" s="199" t="s">
        <v>53</v>
      </c>
      <c r="G3" s="200" t="s">
        <v>54</v>
      </c>
      <c r="H3" s="200"/>
      <c r="I3" s="200"/>
      <c r="J3" s="200"/>
      <c r="K3" s="200"/>
      <c r="L3" s="200"/>
      <c r="M3" s="200"/>
      <c r="N3" s="200"/>
      <c r="O3" s="248" t="s">
        <v>48</v>
      </c>
      <c r="P3" s="249"/>
      <c r="Q3" s="249"/>
      <c r="R3" s="250"/>
      <c r="S3" s="251" t="s">
        <v>49</v>
      </c>
      <c r="T3" s="251"/>
      <c r="U3" s="251"/>
      <c r="V3" s="251"/>
    </row>
    <row r="4" spans="1:22" x14ac:dyDescent="0.4">
      <c r="A4" s="197"/>
      <c r="B4" s="199"/>
      <c r="C4" s="204"/>
      <c r="D4" s="205"/>
      <c r="E4" s="206"/>
      <c r="F4" s="199"/>
      <c r="G4" s="195" t="s">
        <v>5</v>
      </c>
      <c r="H4" s="196"/>
      <c r="I4" s="195" t="s">
        <v>6</v>
      </c>
      <c r="J4" s="196"/>
      <c r="K4" s="195" t="s">
        <v>7</v>
      </c>
      <c r="L4" s="196"/>
      <c r="M4" s="195" t="s">
        <v>8</v>
      </c>
      <c r="N4" s="196"/>
      <c r="O4" s="210" t="s">
        <v>61</v>
      </c>
      <c r="P4" s="211"/>
      <c r="Q4" s="211"/>
      <c r="R4" s="212"/>
      <c r="S4" s="251" t="s">
        <v>64</v>
      </c>
      <c r="T4" s="251"/>
      <c r="U4" s="251"/>
      <c r="V4" s="251"/>
    </row>
    <row r="5" spans="1:22" x14ac:dyDescent="0.4">
      <c r="A5" s="197"/>
      <c r="B5" s="200"/>
      <c r="C5" s="207"/>
      <c r="D5" s="208"/>
      <c r="E5" s="209"/>
      <c r="F5" s="200"/>
      <c r="G5" s="18" t="s">
        <v>57</v>
      </c>
      <c r="H5" s="64" t="s">
        <v>109</v>
      </c>
      <c r="I5" s="18" t="s">
        <v>58</v>
      </c>
      <c r="J5" s="64" t="s">
        <v>110</v>
      </c>
      <c r="K5" s="18" t="s">
        <v>59</v>
      </c>
      <c r="L5" s="64" t="s">
        <v>111</v>
      </c>
      <c r="M5" s="18" t="s">
        <v>60</v>
      </c>
      <c r="N5" s="64" t="s">
        <v>111</v>
      </c>
      <c r="O5" s="60" t="s">
        <v>63</v>
      </c>
      <c r="P5" s="60" t="s">
        <v>62</v>
      </c>
      <c r="Q5" s="61" t="s">
        <v>171</v>
      </c>
      <c r="R5" s="61" t="s">
        <v>170</v>
      </c>
      <c r="S5" s="60" t="s">
        <v>63</v>
      </c>
      <c r="T5" s="60" t="s">
        <v>62</v>
      </c>
      <c r="U5" s="61" t="s">
        <v>171</v>
      </c>
      <c r="V5" s="61" t="s">
        <v>170</v>
      </c>
    </row>
    <row r="6" spans="1:22" x14ac:dyDescent="0.4">
      <c r="A6" s="215" t="s">
        <v>67</v>
      </c>
      <c r="B6" s="218" t="s">
        <v>68</v>
      </c>
      <c r="C6" s="218" t="s">
        <v>69</v>
      </c>
      <c r="D6" s="221" t="s">
        <v>70</v>
      </c>
      <c r="E6" s="222"/>
      <c r="F6" s="20">
        <v>30</v>
      </c>
      <c r="G6" s="17">
        <v>0</v>
      </c>
      <c r="H6" s="38">
        <v>515.779</v>
      </c>
      <c r="I6" s="17">
        <v>427.68</v>
      </c>
      <c r="J6" s="38">
        <v>647.26700000000005</v>
      </c>
      <c r="K6" s="17">
        <v>0</v>
      </c>
      <c r="L6" s="38">
        <v>597.11</v>
      </c>
      <c r="M6" s="17">
        <v>0</v>
      </c>
      <c r="N6" s="38">
        <v>581.85500000000002</v>
      </c>
      <c r="O6" s="17">
        <v>1.2</v>
      </c>
      <c r="P6" s="17">
        <v>0.65</v>
      </c>
      <c r="Q6" s="19">
        <f>(G6*H6+I6*J6+K6*L6+M6*N6)*O6*P6</f>
        <v>215922.05743680001</v>
      </c>
      <c r="R6" s="19">
        <f>Q6*(1-0.14)</f>
        <v>185692.96939564802</v>
      </c>
      <c r="S6" s="17">
        <v>2.6</v>
      </c>
      <c r="T6" s="17">
        <v>0.22</v>
      </c>
      <c r="U6" s="19">
        <f>(G6*H6+I6*J6+K6*L6+M6*N6)*S6*T6</f>
        <v>158342.84212032001</v>
      </c>
      <c r="V6" s="19">
        <f>U6*(1-0.14)</f>
        <v>136174.8442234752</v>
      </c>
    </row>
    <row r="7" spans="1:22" x14ac:dyDescent="0.4">
      <c r="A7" s="216"/>
      <c r="B7" s="219"/>
      <c r="C7" s="219"/>
      <c r="D7" s="221" t="s">
        <v>71</v>
      </c>
      <c r="E7" s="222"/>
      <c r="F7" s="20">
        <v>30</v>
      </c>
      <c r="G7" s="17">
        <v>0</v>
      </c>
      <c r="H7" s="38">
        <v>515.779</v>
      </c>
      <c r="I7" s="17">
        <v>712.8</v>
      </c>
      <c r="J7" s="38">
        <v>647.26700000000005</v>
      </c>
      <c r="K7" s="17">
        <v>0</v>
      </c>
      <c r="L7" s="38">
        <v>597.11</v>
      </c>
      <c r="M7" s="17">
        <v>0</v>
      </c>
      <c r="N7" s="38">
        <v>581.85500000000002</v>
      </c>
      <c r="O7" s="17">
        <v>1.2</v>
      </c>
      <c r="P7" s="17">
        <v>0.65</v>
      </c>
      <c r="Q7" s="19">
        <f>(G7*H7+I7*J7+K7*L7+M7*N7)*O7*P7</f>
        <v>359870.09572799999</v>
      </c>
      <c r="R7" s="19">
        <f t="shared" ref="R7:R69" si="0">Q7*(1-0.14)</f>
        <v>309488.28232607996</v>
      </c>
      <c r="S7" s="17">
        <v>2.6</v>
      </c>
      <c r="T7" s="17">
        <v>0.22</v>
      </c>
      <c r="U7" s="19">
        <f>(G7*H7+I7*J7+K7*L7+M7*N7)*S7*T7</f>
        <v>263904.7368672</v>
      </c>
      <c r="V7" s="19">
        <f t="shared" ref="V7:V69" si="1">U7*(1-0.14)</f>
        <v>226958.07370579199</v>
      </c>
    </row>
    <row r="8" spans="1:22" x14ac:dyDescent="0.4">
      <c r="A8" s="216"/>
      <c r="B8" s="219"/>
      <c r="C8" s="219"/>
      <c r="D8" s="221" t="s">
        <v>72</v>
      </c>
      <c r="E8" s="222"/>
      <c r="F8" s="20">
        <v>30</v>
      </c>
      <c r="G8" s="17">
        <v>0</v>
      </c>
      <c r="H8" s="38">
        <v>515.779</v>
      </c>
      <c r="I8" s="17">
        <v>1140.48</v>
      </c>
      <c r="J8" s="38">
        <v>647.26700000000005</v>
      </c>
      <c r="K8" s="17">
        <v>0</v>
      </c>
      <c r="L8" s="38">
        <v>597.11</v>
      </c>
      <c r="M8" s="17">
        <v>0</v>
      </c>
      <c r="N8" s="38">
        <v>581.85500000000002</v>
      </c>
      <c r="O8" s="17">
        <v>1.2</v>
      </c>
      <c r="P8" s="17">
        <v>0.65</v>
      </c>
      <c r="Q8" s="19">
        <f>(G8*H8+I8*J8+K8*L8+M8*N8)*O8*P8</f>
        <v>575792.15316480002</v>
      </c>
      <c r="R8" s="19">
        <f t="shared" si="0"/>
        <v>495181.25172172801</v>
      </c>
      <c r="S8" s="17">
        <v>2.6</v>
      </c>
      <c r="T8" s="17">
        <v>0.22</v>
      </c>
      <c r="U8" s="19">
        <f>(G8*H8+I8*J8+K8*L8+M8*N8)*S8*T8</f>
        <v>422247.57898752001</v>
      </c>
      <c r="V8" s="19">
        <f t="shared" si="1"/>
        <v>363132.91792926722</v>
      </c>
    </row>
    <row r="9" spans="1:22" x14ac:dyDescent="0.4">
      <c r="A9" s="216"/>
      <c r="B9" s="219"/>
      <c r="C9" s="219"/>
      <c r="D9" s="223" t="s">
        <v>73</v>
      </c>
      <c r="E9" s="223"/>
      <c r="F9" s="20">
        <v>30</v>
      </c>
      <c r="G9" s="17">
        <v>0</v>
      </c>
      <c r="H9" s="38">
        <v>515.779</v>
      </c>
      <c r="I9" s="17">
        <v>1425.6</v>
      </c>
      <c r="J9" s="38">
        <v>647.26700000000005</v>
      </c>
      <c r="K9" s="17">
        <v>0</v>
      </c>
      <c r="L9" s="38">
        <v>597.11</v>
      </c>
      <c r="M9" s="17">
        <v>0</v>
      </c>
      <c r="N9" s="38">
        <v>581.85500000000002</v>
      </c>
      <c r="O9" s="17">
        <v>1.2</v>
      </c>
      <c r="P9" s="17">
        <v>0.65</v>
      </c>
      <c r="Q9" s="19">
        <f>(G9*H9+I9*J9+K9*L9+M9*N9)*O9*P9</f>
        <v>719740.19145599997</v>
      </c>
      <c r="R9" s="19">
        <f t="shared" si="0"/>
        <v>618976.56465215993</v>
      </c>
      <c r="S9" s="17">
        <v>2.6</v>
      </c>
      <c r="T9" s="17">
        <v>0.22</v>
      </c>
      <c r="U9" s="19">
        <f>(G9*H9+I9*J9+K9*L9+M9*N9)*S9*T9</f>
        <v>527809.4737344</v>
      </c>
      <c r="V9" s="19">
        <f t="shared" si="1"/>
        <v>453916.14741158398</v>
      </c>
    </row>
    <row r="10" spans="1:22" x14ac:dyDescent="0.4">
      <c r="A10" s="217"/>
      <c r="B10" s="220"/>
      <c r="C10" s="220"/>
      <c r="D10" s="223" t="s">
        <v>74</v>
      </c>
      <c r="E10" s="223"/>
      <c r="F10" s="20">
        <v>30</v>
      </c>
      <c r="G10" s="17">
        <v>0</v>
      </c>
      <c r="H10" s="38">
        <v>515.779</v>
      </c>
      <c r="I10" s="17">
        <v>1710.72</v>
      </c>
      <c r="J10" s="38">
        <v>647.26700000000005</v>
      </c>
      <c r="K10" s="17">
        <v>0</v>
      </c>
      <c r="L10" s="38">
        <v>597.11</v>
      </c>
      <c r="M10" s="17">
        <v>0</v>
      </c>
      <c r="N10" s="38">
        <v>581.85500000000002</v>
      </c>
      <c r="O10" s="17">
        <v>1.2</v>
      </c>
      <c r="P10" s="17">
        <v>0.65</v>
      </c>
      <c r="Q10" s="83">
        <f>(G10*H10+I10*J10+K10*L10+M10*N10)*O10*P10</f>
        <v>863688.22974720004</v>
      </c>
      <c r="R10" s="19">
        <f t="shared" si="0"/>
        <v>742771.87758259207</v>
      </c>
      <c r="S10" s="17">
        <v>2.6</v>
      </c>
      <c r="T10" s="17">
        <v>0.22</v>
      </c>
      <c r="U10" s="19">
        <f>(G10*H10+I10*J10+K10*L10+M10*N10)*S10*T10</f>
        <v>633371.36848128005</v>
      </c>
      <c r="V10" s="19">
        <f t="shared" si="1"/>
        <v>544699.3768939008</v>
      </c>
    </row>
    <row r="11" spans="1:22" x14ac:dyDescent="0.4">
      <c r="A11" s="224" t="s">
        <v>65</v>
      </c>
      <c r="B11" s="227" t="s">
        <v>76</v>
      </c>
      <c r="C11" s="228" t="s">
        <v>55</v>
      </c>
      <c r="D11" s="228"/>
      <c r="E11" s="228"/>
      <c r="F11" s="46">
        <v>90</v>
      </c>
      <c r="G11" s="47">
        <v>0</v>
      </c>
      <c r="H11" s="65">
        <v>159.5299</v>
      </c>
      <c r="I11" s="48">
        <v>1670</v>
      </c>
      <c r="J11" s="65">
        <v>290.93669999999997</v>
      </c>
      <c r="K11" s="47">
        <v>0</v>
      </c>
      <c r="L11" s="65">
        <v>343.45600000000002</v>
      </c>
      <c r="M11" s="47">
        <v>0</v>
      </c>
      <c r="N11" s="65">
        <v>327.40699999999998</v>
      </c>
      <c r="O11" s="49">
        <v>1.2</v>
      </c>
      <c r="P11" s="49">
        <v>0.65</v>
      </c>
      <c r="Q11" s="50" t="s">
        <v>50</v>
      </c>
      <c r="R11" s="88" t="s">
        <v>50</v>
      </c>
      <c r="S11" s="47">
        <v>2.6</v>
      </c>
      <c r="T11" s="49">
        <v>0.22</v>
      </c>
      <c r="U11" s="50" t="s">
        <v>50</v>
      </c>
      <c r="V11" s="52" t="s">
        <v>50</v>
      </c>
    </row>
    <row r="12" spans="1:22" x14ac:dyDescent="0.4">
      <c r="A12" s="225"/>
      <c r="B12" s="227"/>
      <c r="C12" s="229" t="s">
        <v>69</v>
      </c>
      <c r="D12" s="232" t="s">
        <v>70</v>
      </c>
      <c r="E12" s="233"/>
      <c r="F12" s="51">
        <v>30</v>
      </c>
      <c r="G12" s="47">
        <v>0</v>
      </c>
      <c r="H12" s="65">
        <v>515.779</v>
      </c>
      <c r="I12" s="47">
        <v>427.68</v>
      </c>
      <c r="J12" s="65">
        <v>647.26700000000005</v>
      </c>
      <c r="K12" s="47">
        <v>0</v>
      </c>
      <c r="L12" s="65">
        <v>597.11</v>
      </c>
      <c r="M12" s="47">
        <v>0</v>
      </c>
      <c r="N12" s="65">
        <v>581.85500000000002</v>
      </c>
      <c r="O12" s="47">
        <v>1.2</v>
      </c>
      <c r="P12" s="47">
        <v>0.65</v>
      </c>
      <c r="Q12" s="52">
        <f>(G11*H11+I11*J11+K11*L11+M11*N11+G12*H12+I12*J12+K12*L12+M12*N12)*O12*P12</f>
        <v>594896.20285679994</v>
      </c>
      <c r="R12" s="88">
        <f t="shared" si="0"/>
        <v>511610.73445684795</v>
      </c>
      <c r="S12" s="47">
        <v>2.6</v>
      </c>
      <c r="T12" s="47">
        <v>0.22</v>
      </c>
      <c r="U12" s="52">
        <f>(G11*H11+I11*J11+K11*L11+M11*N11+G12*H12+I12*J12+K12*L12+M12*N12)*S12*T12</f>
        <v>436257.21542831999</v>
      </c>
      <c r="V12" s="52">
        <f t="shared" si="1"/>
        <v>375181.2052683552</v>
      </c>
    </row>
    <row r="13" spans="1:22" x14ac:dyDescent="0.4">
      <c r="A13" s="225"/>
      <c r="B13" s="227"/>
      <c r="C13" s="230"/>
      <c r="D13" s="232" t="s">
        <v>71</v>
      </c>
      <c r="E13" s="233"/>
      <c r="F13" s="51">
        <v>30</v>
      </c>
      <c r="G13" s="47">
        <v>0</v>
      </c>
      <c r="H13" s="65">
        <v>515.779</v>
      </c>
      <c r="I13" s="47">
        <v>712.8</v>
      </c>
      <c r="J13" s="65">
        <v>647.26700000000005</v>
      </c>
      <c r="K13" s="47">
        <v>0</v>
      </c>
      <c r="L13" s="65">
        <v>597.11</v>
      </c>
      <c r="M13" s="47">
        <v>0</v>
      </c>
      <c r="N13" s="65">
        <v>581.85500000000002</v>
      </c>
      <c r="O13" s="47">
        <v>1.2</v>
      </c>
      <c r="P13" s="47">
        <v>0.65</v>
      </c>
      <c r="Q13" s="52">
        <f>(G11*H11+I11*J11+K11*L11+M11*N11+G13*H13+I13*J13+K13*L13+M13*N13)*O13*P13</f>
        <v>738844.241148</v>
      </c>
      <c r="R13" s="88">
        <f t="shared" si="0"/>
        <v>635406.04738728004</v>
      </c>
      <c r="S13" s="47">
        <v>2.6</v>
      </c>
      <c r="T13" s="47">
        <v>0.22</v>
      </c>
      <c r="U13" s="52">
        <f>(G11*H11+I11*J11+K11*L11+M11*N11+G13*H13+I13*J13+K13*L13+M13*N13)*S13*T13</f>
        <v>541819.11017520004</v>
      </c>
      <c r="V13" s="52">
        <f t="shared" si="1"/>
        <v>465964.43475067202</v>
      </c>
    </row>
    <row r="14" spans="1:22" x14ac:dyDescent="0.4">
      <c r="A14" s="225"/>
      <c r="B14" s="227"/>
      <c r="C14" s="230"/>
      <c r="D14" s="232" t="s">
        <v>72</v>
      </c>
      <c r="E14" s="233"/>
      <c r="F14" s="51">
        <v>30</v>
      </c>
      <c r="G14" s="47">
        <v>0</v>
      </c>
      <c r="H14" s="65">
        <v>515.779</v>
      </c>
      <c r="I14" s="47">
        <v>1140.48</v>
      </c>
      <c r="J14" s="65">
        <v>647.26700000000005</v>
      </c>
      <c r="K14" s="47">
        <v>0</v>
      </c>
      <c r="L14" s="65">
        <v>597.11</v>
      </c>
      <c r="M14" s="47">
        <v>0</v>
      </c>
      <c r="N14" s="65">
        <v>581.85500000000002</v>
      </c>
      <c r="O14" s="47">
        <v>1.2</v>
      </c>
      <c r="P14" s="47">
        <v>0.65</v>
      </c>
      <c r="Q14" s="90">
        <f>(G11*H11+I11*J11+K11*L11+M11*N11+G14*H14+I14*J14+K14*L14+M14*N14)*O14*P14</f>
        <v>954766.29858479986</v>
      </c>
      <c r="R14" s="52">
        <f t="shared" si="0"/>
        <v>821099.01678292791</v>
      </c>
      <c r="S14" s="47">
        <v>2.6</v>
      </c>
      <c r="T14" s="47">
        <v>0.22</v>
      </c>
      <c r="U14" s="52">
        <f>(G11*H11+I11*J11+K11*L11+M11*N11+G14*H14+I14*J14+K14*L14+M14*N14)*S14*T14</f>
        <v>700161.95229551999</v>
      </c>
      <c r="V14" s="52">
        <f t="shared" si="1"/>
        <v>602139.27897414716</v>
      </c>
    </row>
    <row r="15" spans="1:22" x14ac:dyDescent="0.4">
      <c r="A15" s="225"/>
      <c r="B15" s="227"/>
      <c r="C15" s="230"/>
      <c r="D15" s="228" t="s">
        <v>73</v>
      </c>
      <c r="E15" s="228"/>
      <c r="F15" s="51">
        <v>30</v>
      </c>
      <c r="G15" s="47">
        <v>0</v>
      </c>
      <c r="H15" s="65">
        <v>515.779</v>
      </c>
      <c r="I15" s="47">
        <v>1425.6</v>
      </c>
      <c r="J15" s="65">
        <v>647.26700000000005</v>
      </c>
      <c r="K15" s="47">
        <v>0</v>
      </c>
      <c r="L15" s="65">
        <v>597.11</v>
      </c>
      <c r="M15" s="47">
        <v>0</v>
      </c>
      <c r="N15" s="65">
        <v>581.85500000000002</v>
      </c>
      <c r="O15" s="47">
        <v>1.2</v>
      </c>
      <c r="P15" s="47">
        <v>0.65</v>
      </c>
      <c r="Q15" s="90">
        <f>(G11*H11+I11*J11+K11*L11+M11*N11+G15*H15+I15*J15+K15*L15+M15*N15)*O15*P15</f>
        <v>1098714.336876</v>
      </c>
      <c r="R15" s="80">
        <f t="shared" si="0"/>
        <v>944894.32971336006</v>
      </c>
      <c r="S15" s="47">
        <v>2.6</v>
      </c>
      <c r="T15" s="47">
        <v>0.22</v>
      </c>
      <c r="U15" s="52">
        <f>(G11*H11+I11*J11+K11*L11+M11*N11+G15*H15+I15*J15+K15*L15+M15*N15)*S15*T15</f>
        <v>805723.84704240004</v>
      </c>
      <c r="V15" s="52">
        <f t="shared" si="1"/>
        <v>692922.50845646404</v>
      </c>
    </row>
    <row r="16" spans="1:22" x14ac:dyDescent="0.4">
      <c r="A16" s="225"/>
      <c r="B16" s="227"/>
      <c r="C16" s="231"/>
      <c r="D16" s="228" t="s">
        <v>74</v>
      </c>
      <c r="E16" s="228"/>
      <c r="F16" s="51">
        <v>30</v>
      </c>
      <c r="G16" s="47">
        <v>0</v>
      </c>
      <c r="H16" s="65">
        <v>515.779</v>
      </c>
      <c r="I16" s="47">
        <v>1710.72</v>
      </c>
      <c r="J16" s="65">
        <v>647.26700000000005</v>
      </c>
      <c r="K16" s="47">
        <v>0</v>
      </c>
      <c r="L16" s="65">
        <v>597.11</v>
      </c>
      <c r="M16" s="47">
        <v>0</v>
      </c>
      <c r="N16" s="65">
        <v>581.85500000000002</v>
      </c>
      <c r="O16" s="47">
        <v>1.2</v>
      </c>
      <c r="P16" s="47">
        <v>0.65</v>
      </c>
      <c r="Q16" s="90">
        <f>(G11*H11+I11*J11+K11*L11+M11*N11+G16*H16+I16*J16+K16*L16+M16*N16)*O16*P16</f>
        <v>1242662.3751671999</v>
      </c>
      <c r="R16" s="80">
        <f t="shared" si="0"/>
        <v>1068689.6426437919</v>
      </c>
      <c r="S16" s="47">
        <v>2.6</v>
      </c>
      <c r="T16" s="47">
        <v>0.22</v>
      </c>
      <c r="U16" s="84">
        <f>(G11*H11+I11*J11+K11*L11+M11*N11+G16*H16+I16*J16+K16*L16+M16*N16)*S16*T16</f>
        <v>911285.74178928009</v>
      </c>
      <c r="V16" s="88">
        <f t="shared" si="1"/>
        <v>783705.73793878092</v>
      </c>
    </row>
    <row r="17" spans="1:22" x14ac:dyDescent="0.4">
      <c r="A17" s="225"/>
      <c r="B17" s="234" t="s">
        <v>77</v>
      </c>
      <c r="C17" s="252" t="s">
        <v>55</v>
      </c>
      <c r="D17" s="246"/>
      <c r="E17" s="246"/>
      <c r="F17" s="23">
        <v>90</v>
      </c>
      <c r="G17" s="7">
        <v>0</v>
      </c>
      <c r="H17" s="24">
        <v>159.5299</v>
      </c>
      <c r="I17" s="8">
        <v>1670</v>
      </c>
      <c r="J17" s="24">
        <v>290.93669999999997</v>
      </c>
      <c r="K17" s="7">
        <v>0</v>
      </c>
      <c r="L17" s="24">
        <v>343.45600000000002</v>
      </c>
      <c r="M17" s="7">
        <v>0</v>
      </c>
      <c r="N17" s="24">
        <v>327.40699999999998</v>
      </c>
      <c r="O17" s="25">
        <v>1.2</v>
      </c>
      <c r="P17" s="25">
        <v>0.65</v>
      </c>
      <c r="Q17" s="26" t="s">
        <v>50</v>
      </c>
      <c r="R17" s="15" t="s">
        <v>50</v>
      </c>
      <c r="S17" s="23">
        <v>2.6</v>
      </c>
      <c r="T17" s="25">
        <v>0.22</v>
      </c>
      <c r="U17" s="26" t="s">
        <v>50</v>
      </c>
      <c r="V17" s="15" t="s">
        <v>50</v>
      </c>
    </row>
    <row r="18" spans="1:22" x14ac:dyDescent="0.4">
      <c r="A18" s="225"/>
      <c r="B18" s="235"/>
      <c r="C18" s="246" t="s">
        <v>79</v>
      </c>
      <c r="D18" s="247" t="s">
        <v>80</v>
      </c>
      <c r="E18" s="32" t="s">
        <v>95</v>
      </c>
      <c r="F18" s="32">
        <v>30</v>
      </c>
      <c r="G18" s="27">
        <v>0</v>
      </c>
      <c r="H18" s="66">
        <v>515.779</v>
      </c>
      <c r="I18" s="27">
        <v>427.68</v>
      </c>
      <c r="J18" s="66">
        <v>647.26700000000005</v>
      </c>
      <c r="K18" s="27">
        <v>0</v>
      </c>
      <c r="L18" s="66">
        <v>597.11</v>
      </c>
      <c r="M18" s="27">
        <v>0</v>
      </c>
      <c r="N18" s="66">
        <v>581.85500000000002</v>
      </c>
      <c r="O18" s="27">
        <v>1.2</v>
      </c>
      <c r="P18" s="27">
        <v>0.65</v>
      </c>
      <c r="Q18" s="35" t="s">
        <v>50</v>
      </c>
      <c r="R18" s="29" t="s">
        <v>50</v>
      </c>
      <c r="S18" s="27">
        <v>2.6</v>
      </c>
      <c r="T18" s="27">
        <v>0.22</v>
      </c>
      <c r="U18" s="35" t="s">
        <v>50</v>
      </c>
      <c r="V18" s="29" t="s">
        <v>50</v>
      </c>
    </row>
    <row r="19" spans="1:22" x14ac:dyDescent="0.4">
      <c r="A19" s="225"/>
      <c r="B19" s="235"/>
      <c r="C19" s="246"/>
      <c r="D19" s="247"/>
      <c r="E19" s="32" t="s">
        <v>100</v>
      </c>
      <c r="F19" s="32">
        <v>60</v>
      </c>
      <c r="G19" s="27">
        <v>0</v>
      </c>
      <c r="H19" s="66">
        <v>285.51049999999998</v>
      </c>
      <c r="I19" s="28">
        <v>10.5</v>
      </c>
      <c r="J19" s="66">
        <v>516.15200000000004</v>
      </c>
      <c r="K19" s="27">
        <v>5.25</v>
      </c>
      <c r="L19" s="66">
        <v>481.69099999999997</v>
      </c>
      <c r="M19" s="27">
        <v>5.25</v>
      </c>
      <c r="N19" s="66">
        <v>460.91500000000002</v>
      </c>
      <c r="O19" s="30">
        <v>1.2</v>
      </c>
      <c r="P19" s="30">
        <v>0.65</v>
      </c>
      <c r="Q19" s="2">
        <f>(O19*P19)*(G17*H17+I17*J17+K17*L17+M17*N17+G18*H18+I18*J18+K18*L18+M18*N18+G19*H19+I19*J19+K19*L19+M19*N19)</f>
        <v>602983.45930679992</v>
      </c>
      <c r="R19" s="29">
        <f t="shared" si="0"/>
        <v>518565.7750038479</v>
      </c>
      <c r="S19" s="27">
        <v>2.6</v>
      </c>
      <c r="T19" s="30">
        <v>0.22</v>
      </c>
      <c r="U19" s="2">
        <f>(S19*T19)*(G17*H17+I17*J17+K17*L17+M17*N17+G18*H18+I18*J18+K18*L18+M18*N18+G19*H19+I19*J19+K19*L19+M19*N19)</f>
        <v>442187.87015832</v>
      </c>
      <c r="V19" s="29">
        <f t="shared" si="1"/>
        <v>380281.56833615521</v>
      </c>
    </row>
    <row r="20" spans="1:22" x14ac:dyDescent="0.4">
      <c r="A20" s="225"/>
      <c r="B20" s="235"/>
      <c r="C20" s="246"/>
      <c r="D20" s="246" t="s">
        <v>81</v>
      </c>
      <c r="E20" s="23" t="s">
        <v>95</v>
      </c>
      <c r="F20" s="23">
        <v>30</v>
      </c>
      <c r="G20" s="7">
        <v>0</v>
      </c>
      <c r="H20" s="24">
        <v>515.779</v>
      </c>
      <c r="I20" s="7">
        <v>427.68</v>
      </c>
      <c r="J20" s="24">
        <v>647.26700000000005</v>
      </c>
      <c r="K20" s="7">
        <v>0</v>
      </c>
      <c r="L20" s="24">
        <v>597.11</v>
      </c>
      <c r="M20" s="7">
        <v>0</v>
      </c>
      <c r="N20" s="24">
        <v>581.85500000000002</v>
      </c>
      <c r="O20" s="7">
        <v>1.2</v>
      </c>
      <c r="P20" s="7">
        <v>0.65</v>
      </c>
      <c r="Q20" s="34" t="s">
        <v>50</v>
      </c>
      <c r="R20" s="15" t="s">
        <v>50</v>
      </c>
      <c r="S20" s="7">
        <v>2.6</v>
      </c>
      <c r="T20" s="7">
        <v>0.22</v>
      </c>
      <c r="U20" s="34" t="s">
        <v>50</v>
      </c>
      <c r="V20" s="15" t="s">
        <v>50</v>
      </c>
    </row>
    <row r="21" spans="1:22" x14ac:dyDescent="0.4">
      <c r="A21" s="225"/>
      <c r="B21" s="235"/>
      <c r="C21" s="246"/>
      <c r="D21" s="246"/>
      <c r="E21" s="23" t="s">
        <v>101</v>
      </c>
      <c r="F21" s="23">
        <v>30</v>
      </c>
      <c r="G21" s="7">
        <v>0</v>
      </c>
      <c r="H21" s="24">
        <v>515.779</v>
      </c>
      <c r="I21" s="8">
        <v>10.5</v>
      </c>
      <c r="J21" s="24">
        <v>647.26700000000005</v>
      </c>
      <c r="K21" s="7">
        <v>5.25</v>
      </c>
      <c r="L21" s="24">
        <v>597.11</v>
      </c>
      <c r="M21" s="7">
        <v>5.25</v>
      </c>
      <c r="N21" s="24">
        <v>581.85500000000002</v>
      </c>
      <c r="O21" s="16">
        <v>1.2</v>
      </c>
      <c r="P21" s="16">
        <v>0.65</v>
      </c>
      <c r="Q21" s="21">
        <f>(O21*P21)*(G17*H17+I17*J17+K17*L17+M17*N17+G20*H20+I20*J20+K20*L20+M20*N20+G21*H21+I21*J21+K21*L21+M21*N21)</f>
        <v>605025.1812618</v>
      </c>
      <c r="R21" s="15">
        <f t="shared" si="0"/>
        <v>520321.65588514798</v>
      </c>
      <c r="S21" s="7">
        <v>2.6</v>
      </c>
      <c r="T21" s="16">
        <v>0.22</v>
      </c>
      <c r="U21" s="21">
        <f>(S21*T21)*(G17*H17+I17*J17+K17*L17+M17*N17+G20*H20+I20*J20+K20*L20+M20*N20+G21*H21+I21*J21+K21*L21+M21*N21)</f>
        <v>443685.13292532007</v>
      </c>
      <c r="V21" s="15">
        <f t="shared" si="1"/>
        <v>381569.21431577526</v>
      </c>
    </row>
    <row r="22" spans="1:22" x14ac:dyDescent="0.4">
      <c r="A22" s="225"/>
      <c r="B22" s="235"/>
      <c r="C22" s="246"/>
      <c r="D22" s="247" t="s">
        <v>82</v>
      </c>
      <c r="E22" s="32" t="s">
        <v>95</v>
      </c>
      <c r="F22" s="32">
        <v>30</v>
      </c>
      <c r="G22" s="27">
        <v>0</v>
      </c>
      <c r="H22" s="66">
        <v>515.779</v>
      </c>
      <c r="I22" s="27">
        <v>427.68</v>
      </c>
      <c r="J22" s="66">
        <v>647.26700000000005</v>
      </c>
      <c r="K22" s="27">
        <v>0</v>
      </c>
      <c r="L22" s="66">
        <v>597.11</v>
      </c>
      <c r="M22" s="27">
        <v>0</v>
      </c>
      <c r="N22" s="66">
        <v>581.85500000000002</v>
      </c>
      <c r="O22" s="27">
        <v>1.2</v>
      </c>
      <c r="P22" s="27">
        <v>0.65</v>
      </c>
      <c r="Q22" s="33" t="s">
        <v>50</v>
      </c>
      <c r="R22" s="29" t="s">
        <v>50</v>
      </c>
      <c r="S22" s="27">
        <v>2.6</v>
      </c>
      <c r="T22" s="27">
        <v>0.22</v>
      </c>
      <c r="U22" s="33" t="s">
        <v>50</v>
      </c>
      <c r="V22" s="29" t="s">
        <v>50</v>
      </c>
    </row>
    <row r="23" spans="1:22" x14ac:dyDescent="0.4">
      <c r="A23" s="225"/>
      <c r="B23" s="235"/>
      <c r="C23" s="246"/>
      <c r="D23" s="247"/>
      <c r="E23" s="32" t="s">
        <v>102</v>
      </c>
      <c r="F23" s="32">
        <v>0</v>
      </c>
      <c r="G23" s="27">
        <v>0</v>
      </c>
      <c r="H23" s="66">
        <v>641.43100000000004</v>
      </c>
      <c r="I23" s="28">
        <v>10.5</v>
      </c>
      <c r="J23" s="66">
        <v>641.43100000000004</v>
      </c>
      <c r="K23" s="27">
        <v>5.25</v>
      </c>
      <c r="L23" s="66">
        <v>641.43100000000004</v>
      </c>
      <c r="M23" s="27">
        <v>5.25</v>
      </c>
      <c r="N23" s="66">
        <v>641.43100000000004</v>
      </c>
      <c r="O23" s="30">
        <v>1.2</v>
      </c>
      <c r="P23" s="30">
        <v>0.65</v>
      </c>
      <c r="Q23" s="2">
        <f>(O23*P23)*(G17*H17+I17*J17+K17*L17+M17*N17+G22*H22+I22*J22+K22*L22+M22*N22+G23*H23+I23*J23+K23*L23+M23*N23)</f>
        <v>605402.84263680002</v>
      </c>
      <c r="R23" s="29">
        <f t="shared" si="0"/>
        <v>520646.444667648</v>
      </c>
      <c r="S23" s="27">
        <v>2.6</v>
      </c>
      <c r="T23" s="30">
        <v>0.22</v>
      </c>
      <c r="U23" s="2">
        <f>(S23*T23)*(G17*H17+I17*J17+K17*L17+M17*N17+G22*H22+I22*J22+K22*L22+M22*N22+G23*H23+I23*J23+K23*L23+M23*N23)</f>
        <v>443962.08460032003</v>
      </c>
      <c r="V23" s="29">
        <f t="shared" si="1"/>
        <v>381807.39275627519</v>
      </c>
    </row>
    <row r="24" spans="1:22" x14ac:dyDescent="0.4">
      <c r="A24" s="225"/>
      <c r="B24" s="235"/>
      <c r="C24" s="246"/>
      <c r="D24" s="246" t="s">
        <v>83</v>
      </c>
      <c r="E24" s="23" t="s">
        <v>96</v>
      </c>
      <c r="F24" s="23">
        <v>30</v>
      </c>
      <c r="G24" s="7">
        <v>0</v>
      </c>
      <c r="H24" s="24">
        <v>515.779</v>
      </c>
      <c r="I24" s="7">
        <v>712.8</v>
      </c>
      <c r="J24" s="24">
        <v>647.26700000000005</v>
      </c>
      <c r="K24" s="7">
        <v>0</v>
      </c>
      <c r="L24" s="24">
        <v>597.11</v>
      </c>
      <c r="M24" s="7">
        <v>0</v>
      </c>
      <c r="N24" s="24">
        <v>581.85500000000002</v>
      </c>
      <c r="O24" s="7">
        <v>1.2</v>
      </c>
      <c r="P24" s="7">
        <v>0.65</v>
      </c>
      <c r="Q24" s="34" t="s">
        <v>50</v>
      </c>
      <c r="R24" s="15" t="s">
        <v>50</v>
      </c>
      <c r="S24" s="7">
        <v>2.6</v>
      </c>
      <c r="T24" s="7">
        <v>0.22</v>
      </c>
      <c r="U24" s="34" t="s">
        <v>50</v>
      </c>
      <c r="V24" s="15" t="s">
        <v>50</v>
      </c>
    </row>
    <row r="25" spans="1:22" x14ac:dyDescent="0.4">
      <c r="A25" s="225"/>
      <c r="B25" s="235"/>
      <c r="C25" s="246"/>
      <c r="D25" s="246"/>
      <c r="E25" s="23" t="s">
        <v>100</v>
      </c>
      <c r="F25" s="23">
        <v>60</v>
      </c>
      <c r="G25" s="7">
        <v>0</v>
      </c>
      <c r="H25" s="24">
        <v>285.51049999999998</v>
      </c>
      <c r="I25" s="8">
        <v>10.5</v>
      </c>
      <c r="J25" s="24">
        <v>516.15200000000004</v>
      </c>
      <c r="K25" s="7">
        <v>5.25</v>
      </c>
      <c r="L25" s="24">
        <v>481.69099999999997</v>
      </c>
      <c r="M25" s="7">
        <v>5.25</v>
      </c>
      <c r="N25" s="24">
        <v>460.91500000000002</v>
      </c>
      <c r="O25" s="16">
        <v>1.2</v>
      </c>
      <c r="P25" s="16">
        <v>0.65</v>
      </c>
      <c r="Q25" s="21">
        <f>(O25*P25)*(G17*H17+I17*J17+K17*L17+M17*N17+G24*H24+I24*J24+K24*L24+M24*N24+G25*H25+I25*J25+K25*L25+M25*N25)</f>
        <v>746931.49759799999</v>
      </c>
      <c r="R25" s="15">
        <f t="shared" si="0"/>
        <v>642361.08793427993</v>
      </c>
      <c r="S25" s="7">
        <v>2.6</v>
      </c>
      <c r="T25" s="16">
        <v>0.22</v>
      </c>
      <c r="U25" s="21">
        <f>(S25*T25)*(G17*H17+I17*J17+K17*L17+M17*N17+G24*H24+I24*J24+K24*L24+M24*N24+G25*H25+I25*J25+K25*L25+M25*N25)</f>
        <v>547749.76490519999</v>
      </c>
      <c r="V25" s="15">
        <f t="shared" si="1"/>
        <v>471064.79781847197</v>
      </c>
    </row>
    <row r="26" spans="1:22" x14ac:dyDescent="0.4">
      <c r="A26" s="225"/>
      <c r="B26" s="235"/>
      <c r="C26" s="246"/>
      <c r="D26" s="247" t="s">
        <v>84</v>
      </c>
      <c r="E26" s="32" t="s">
        <v>96</v>
      </c>
      <c r="F26" s="32">
        <v>30</v>
      </c>
      <c r="G26" s="27">
        <v>0</v>
      </c>
      <c r="H26" s="66">
        <v>515.779</v>
      </c>
      <c r="I26" s="27">
        <v>712.8</v>
      </c>
      <c r="J26" s="66">
        <v>647.26700000000005</v>
      </c>
      <c r="K26" s="27">
        <v>0</v>
      </c>
      <c r="L26" s="66">
        <v>597.11</v>
      </c>
      <c r="M26" s="27">
        <v>0</v>
      </c>
      <c r="N26" s="66">
        <v>581.85500000000002</v>
      </c>
      <c r="O26" s="27">
        <v>1.2</v>
      </c>
      <c r="P26" s="27">
        <v>0.65</v>
      </c>
      <c r="Q26" s="33" t="s">
        <v>50</v>
      </c>
      <c r="R26" s="29" t="s">
        <v>50</v>
      </c>
      <c r="S26" s="27">
        <v>2.6</v>
      </c>
      <c r="T26" s="27">
        <v>0.22</v>
      </c>
      <c r="U26" s="33" t="s">
        <v>50</v>
      </c>
      <c r="V26" s="29" t="s">
        <v>50</v>
      </c>
    </row>
    <row r="27" spans="1:22" x14ac:dyDescent="0.4">
      <c r="A27" s="225"/>
      <c r="B27" s="235"/>
      <c r="C27" s="246"/>
      <c r="D27" s="247"/>
      <c r="E27" s="32" t="s">
        <v>101</v>
      </c>
      <c r="F27" s="32">
        <v>30</v>
      </c>
      <c r="G27" s="27">
        <v>0</v>
      </c>
      <c r="H27" s="66">
        <v>515.779</v>
      </c>
      <c r="I27" s="28">
        <v>10.5</v>
      </c>
      <c r="J27" s="66">
        <v>647.26700000000005</v>
      </c>
      <c r="K27" s="27">
        <v>5.25</v>
      </c>
      <c r="L27" s="66">
        <v>597.11</v>
      </c>
      <c r="M27" s="27">
        <v>5.25</v>
      </c>
      <c r="N27" s="66">
        <v>581.85500000000002</v>
      </c>
      <c r="O27" s="30">
        <v>1.2</v>
      </c>
      <c r="P27" s="30">
        <v>0.65</v>
      </c>
      <c r="Q27" s="2">
        <f>(O27*P27)*(G17*H17+I17*J17+K17*L17+M17*N17+G26*H26+I26*J26+K26*L26+M26*N26+G27*H27+I27*J27+K27*L27+M27*N27)</f>
        <v>748973.21955300006</v>
      </c>
      <c r="R27" s="29">
        <f t="shared" si="0"/>
        <v>644116.96881558001</v>
      </c>
      <c r="S27" s="27">
        <v>2.6</v>
      </c>
      <c r="T27" s="30">
        <v>0.22</v>
      </c>
      <c r="U27" s="2">
        <f>(S27*T27)*(G17*H17+I17*J17+K17*L17+M17*N17+G26*H26+I26*J26+K26*L26+M26*N26+G27*H27+I27*J27+K27*L27+M27*N27)</f>
        <v>549247.0276722</v>
      </c>
      <c r="V27" s="29">
        <f t="shared" si="1"/>
        <v>472352.44379809202</v>
      </c>
    </row>
    <row r="28" spans="1:22" x14ac:dyDescent="0.4">
      <c r="A28" s="225"/>
      <c r="B28" s="235"/>
      <c r="C28" s="246"/>
      <c r="D28" s="246" t="s">
        <v>85</v>
      </c>
      <c r="E28" s="23" t="s">
        <v>96</v>
      </c>
      <c r="F28" s="23">
        <v>30</v>
      </c>
      <c r="G28" s="7">
        <v>0</v>
      </c>
      <c r="H28" s="24">
        <v>515.779</v>
      </c>
      <c r="I28" s="7">
        <v>712.8</v>
      </c>
      <c r="J28" s="24">
        <v>647.26700000000005</v>
      </c>
      <c r="K28" s="7">
        <v>0</v>
      </c>
      <c r="L28" s="24">
        <v>597.11</v>
      </c>
      <c r="M28" s="7">
        <v>0</v>
      </c>
      <c r="N28" s="24">
        <v>581.85500000000002</v>
      </c>
      <c r="O28" s="7">
        <v>1.2</v>
      </c>
      <c r="P28" s="7">
        <v>0.65</v>
      </c>
      <c r="Q28" s="34" t="s">
        <v>50</v>
      </c>
      <c r="R28" s="15" t="s">
        <v>50</v>
      </c>
      <c r="S28" s="7">
        <v>2.6</v>
      </c>
      <c r="T28" s="7">
        <v>0.22</v>
      </c>
      <c r="U28" s="34" t="s">
        <v>50</v>
      </c>
      <c r="V28" s="15" t="s">
        <v>50</v>
      </c>
    </row>
    <row r="29" spans="1:22" x14ac:dyDescent="0.4">
      <c r="A29" s="225"/>
      <c r="B29" s="235"/>
      <c r="C29" s="246"/>
      <c r="D29" s="246"/>
      <c r="E29" s="23" t="s">
        <v>102</v>
      </c>
      <c r="F29" s="23">
        <v>0</v>
      </c>
      <c r="G29" s="7">
        <v>0</v>
      </c>
      <c r="H29" s="24">
        <v>641.43100000000004</v>
      </c>
      <c r="I29" s="8">
        <v>10.5</v>
      </c>
      <c r="J29" s="24">
        <v>641.43100000000004</v>
      </c>
      <c r="K29" s="7">
        <v>5.25</v>
      </c>
      <c r="L29" s="24">
        <v>641.43100000000004</v>
      </c>
      <c r="M29" s="7">
        <v>5.25</v>
      </c>
      <c r="N29" s="24">
        <v>641.43100000000004</v>
      </c>
      <c r="O29" s="16">
        <v>1.2</v>
      </c>
      <c r="P29" s="16">
        <v>0.65</v>
      </c>
      <c r="Q29" s="21">
        <f>(O29*P29)*(G17*H17+I17*J17+K17*L17+M17*N17+G28*H28+I28*J28+K28*L28+M28*N28+G29*H29+I29*J29+K29*L29+M29*N29)</f>
        <v>749350.88092799997</v>
      </c>
      <c r="R29" s="15">
        <f t="shared" si="0"/>
        <v>644441.75759807997</v>
      </c>
      <c r="S29" s="7">
        <v>2.6</v>
      </c>
      <c r="T29" s="16">
        <v>0.22</v>
      </c>
      <c r="U29" s="21">
        <f>(S29*T29)*(G17*H17+I17*J17+K17*L17+M17*N17+G28*H28+I28*J28+K28*L28+M28*N28+G29*H29+I29*J29+K29*L29+M29*N29)</f>
        <v>549523.97934720002</v>
      </c>
      <c r="V29" s="15">
        <f t="shared" si="1"/>
        <v>472590.62223859201</v>
      </c>
    </row>
    <row r="30" spans="1:22" x14ac:dyDescent="0.4">
      <c r="A30" s="225"/>
      <c r="B30" s="235"/>
      <c r="C30" s="246"/>
      <c r="D30" s="247" t="s">
        <v>86</v>
      </c>
      <c r="E30" s="32" t="s">
        <v>97</v>
      </c>
      <c r="F30" s="32">
        <v>30</v>
      </c>
      <c r="G30" s="27">
        <v>0</v>
      </c>
      <c r="H30" s="66">
        <v>515.779</v>
      </c>
      <c r="I30" s="27">
        <v>1140.48</v>
      </c>
      <c r="J30" s="66">
        <v>647.26700000000005</v>
      </c>
      <c r="K30" s="27">
        <v>0</v>
      </c>
      <c r="L30" s="66">
        <v>597.11</v>
      </c>
      <c r="M30" s="27">
        <v>0</v>
      </c>
      <c r="N30" s="66">
        <v>581.85500000000002</v>
      </c>
      <c r="O30" s="27">
        <v>1.2</v>
      </c>
      <c r="P30" s="27">
        <v>0.65</v>
      </c>
      <c r="Q30" s="33" t="s">
        <v>50</v>
      </c>
      <c r="R30" s="29" t="s">
        <v>50</v>
      </c>
      <c r="S30" s="27">
        <v>2.6</v>
      </c>
      <c r="T30" s="27">
        <v>0.22</v>
      </c>
      <c r="U30" s="33" t="s">
        <v>50</v>
      </c>
      <c r="V30" s="29" t="s">
        <v>50</v>
      </c>
    </row>
    <row r="31" spans="1:22" x14ac:dyDescent="0.4">
      <c r="A31" s="225"/>
      <c r="B31" s="235"/>
      <c r="C31" s="246"/>
      <c r="D31" s="247"/>
      <c r="E31" s="32" t="s">
        <v>100</v>
      </c>
      <c r="F31" s="32">
        <v>60</v>
      </c>
      <c r="G31" s="27">
        <v>0</v>
      </c>
      <c r="H31" s="66">
        <v>285.51049999999998</v>
      </c>
      <c r="I31" s="28">
        <v>10.5</v>
      </c>
      <c r="J31" s="66">
        <v>516.15200000000004</v>
      </c>
      <c r="K31" s="27">
        <v>5.25</v>
      </c>
      <c r="L31" s="66">
        <v>481.69099999999997</v>
      </c>
      <c r="M31" s="27">
        <v>5.25</v>
      </c>
      <c r="N31" s="66">
        <v>460.91500000000002</v>
      </c>
      <c r="O31" s="30">
        <v>1.2</v>
      </c>
      <c r="P31" s="30">
        <v>0.65</v>
      </c>
      <c r="Q31" s="143">
        <f>(O31*P31)*(G17*H17+I17*J17+K17*L17+M17*N17+G30*H30+I30*J30+K30*L30+M30*N30+G31*H31+I31*J31+K31*L31+M31*N31)</f>
        <v>962853.55503479985</v>
      </c>
      <c r="R31" s="29">
        <f t="shared" si="0"/>
        <v>828054.0573299278</v>
      </c>
      <c r="S31" s="27">
        <v>2.6</v>
      </c>
      <c r="T31" s="30">
        <v>0.22</v>
      </c>
      <c r="U31" s="2">
        <f>(S31*T31)*(G17*H17+I17*J17+K17*L17+M17*N17+G30*H30+I30*J30+K30*L30+M30*N30+G31*H31+I31*J31+K31*L31+M31*N31)</f>
        <v>706092.60702551994</v>
      </c>
      <c r="V31" s="29">
        <f t="shared" si="1"/>
        <v>607239.64204194711</v>
      </c>
    </row>
    <row r="32" spans="1:22" x14ac:dyDescent="0.4">
      <c r="A32" s="225"/>
      <c r="B32" s="235"/>
      <c r="C32" s="246"/>
      <c r="D32" s="246" t="s">
        <v>87</v>
      </c>
      <c r="E32" s="23" t="s">
        <v>97</v>
      </c>
      <c r="F32" s="23">
        <v>30</v>
      </c>
      <c r="G32" s="7">
        <v>0</v>
      </c>
      <c r="H32" s="24">
        <v>515.779</v>
      </c>
      <c r="I32" s="7">
        <v>1140.48</v>
      </c>
      <c r="J32" s="24">
        <v>647.26700000000005</v>
      </c>
      <c r="K32" s="7">
        <v>0</v>
      </c>
      <c r="L32" s="24">
        <v>597.11</v>
      </c>
      <c r="M32" s="7">
        <v>0</v>
      </c>
      <c r="N32" s="24">
        <v>581.85500000000002</v>
      </c>
      <c r="O32" s="7">
        <v>1.2</v>
      </c>
      <c r="P32" s="7">
        <v>0.65</v>
      </c>
      <c r="Q32" s="34" t="s">
        <v>50</v>
      </c>
      <c r="R32" s="15" t="s">
        <v>50</v>
      </c>
      <c r="S32" s="7">
        <v>2.6</v>
      </c>
      <c r="T32" s="7">
        <v>0.22</v>
      </c>
      <c r="U32" s="34" t="s">
        <v>50</v>
      </c>
      <c r="V32" s="15" t="s">
        <v>50</v>
      </c>
    </row>
    <row r="33" spans="1:22" x14ac:dyDescent="0.4">
      <c r="A33" s="225"/>
      <c r="B33" s="235"/>
      <c r="C33" s="246"/>
      <c r="D33" s="246"/>
      <c r="E33" s="23" t="s">
        <v>101</v>
      </c>
      <c r="F33" s="23">
        <v>30</v>
      </c>
      <c r="G33" s="7">
        <v>0</v>
      </c>
      <c r="H33" s="24">
        <v>515.779</v>
      </c>
      <c r="I33" s="8">
        <v>10.5</v>
      </c>
      <c r="J33" s="24">
        <v>647.26700000000005</v>
      </c>
      <c r="K33" s="7">
        <v>5.25</v>
      </c>
      <c r="L33" s="24">
        <v>597.11</v>
      </c>
      <c r="M33" s="7">
        <v>5.25</v>
      </c>
      <c r="N33" s="24">
        <v>581.85500000000002</v>
      </c>
      <c r="O33" s="16">
        <v>1.2</v>
      </c>
      <c r="P33" s="16">
        <v>0.65</v>
      </c>
      <c r="Q33" s="144">
        <f>(O33*P33)*(G17*H17+I17*J17+K17*L17+M17*N17+G32*H32+I32*J32+K32*L32+M32*N32+G33*H33+I33*J33+K33*L33+M33*N33)</f>
        <v>964895.27698979981</v>
      </c>
      <c r="R33" s="15">
        <f t="shared" si="0"/>
        <v>829809.93821122777</v>
      </c>
      <c r="S33" s="7">
        <v>2.6</v>
      </c>
      <c r="T33" s="16">
        <v>0.22</v>
      </c>
      <c r="U33" s="21">
        <f>(S33*T33)*(G17*H17+I17*J17+K17*L17+M17*N17+G32*H32+I32*J32+K32*L32+M32*N32+G33*H33+I33*J33+K33*L33+M33*N33)</f>
        <v>707589.86979251995</v>
      </c>
      <c r="V33" s="15">
        <f t="shared" si="1"/>
        <v>608527.28802156716</v>
      </c>
    </row>
    <row r="34" spans="1:22" x14ac:dyDescent="0.4">
      <c r="A34" s="225"/>
      <c r="B34" s="235"/>
      <c r="C34" s="246"/>
      <c r="D34" s="247" t="s">
        <v>88</v>
      </c>
      <c r="E34" s="32" t="s">
        <v>97</v>
      </c>
      <c r="F34" s="32">
        <v>30</v>
      </c>
      <c r="G34" s="27">
        <v>0</v>
      </c>
      <c r="H34" s="66">
        <v>515.779</v>
      </c>
      <c r="I34" s="27">
        <v>1140.48</v>
      </c>
      <c r="J34" s="66">
        <v>647.26700000000005</v>
      </c>
      <c r="K34" s="27">
        <v>0</v>
      </c>
      <c r="L34" s="66">
        <v>597.11</v>
      </c>
      <c r="M34" s="27">
        <v>0</v>
      </c>
      <c r="N34" s="66">
        <v>581.85500000000002</v>
      </c>
      <c r="O34" s="27">
        <v>1.2</v>
      </c>
      <c r="P34" s="27">
        <v>0.65</v>
      </c>
      <c r="Q34" s="33" t="s">
        <v>50</v>
      </c>
      <c r="R34" s="29" t="s">
        <v>50</v>
      </c>
      <c r="S34" s="27">
        <v>2.6</v>
      </c>
      <c r="T34" s="27">
        <v>0.22</v>
      </c>
      <c r="U34" s="33" t="s">
        <v>50</v>
      </c>
      <c r="V34" s="29" t="s">
        <v>50</v>
      </c>
    </row>
    <row r="35" spans="1:22" x14ac:dyDescent="0.4">
      <c r="A35" s="225"/>
      <c r="B35" s="235"/>
      <c r="C35" s="246"/>
      <c r="D35" s="247"/>
      <c r="E35" s="32" t="s">
        <v>102</v>
      </c>
      <c r="F35" s="32">
        <v>0</v>
      </c>
      <c r="G35" s="27">
        <v>0</v>
      </c>
      <c r="H35" s="66">
        <v>641.43100000000004</v>
      </c>
      <c r="I35" s="28">
        <v>10.5</v>
      </c>
      <c r="J35" s="66">
        <v>641.43100000000004</v>
      </c>
      <c r="K35" s="27">
        <v>5.25</v>
      </c>
      <c r="L35" s="66">
        <v>641.43100000000004</v>
      </c>
      <c r="M35" s="27">
        <v>5.25</v>
      </c>
      <c r="N35" s="66">
        <v>641.43100000000004</v>
      </c>
      <c r="O35" s="30">
        <v>1.2</v>
      </c>
      <c r="P35" s="30">
        <v>0.65</v>
      </c>
      <c r="Q35" s="143">
        <f>(O35*P35)*(G17*H17+I17*J17+K17*L17+M17*N17+G34*H34+I34*J34+K34*L34+M34*N34+G35*H35+I35*J35+K35*L35+M35*N35)</f>
        <v>965272.93836479995</v>
      </c>
      <c r="R35" s="29">
        <f t="shared" si="0"/>
        <v>830134.72699372796</v>
      </c>
      <c r="S35" s="27">
        <v>2.6</v>
      </c>
      <c r="T35" s="30">
        <v>0.22</v>
      </c>
      <c r="U35" s="2">
        <f>(S35*T35)*(G17*H17+I17*J17+K17*L17+M17*N17+G34*H34+I34*J34+K34*L34+M34*N34+G35*H35+I35*J35+K35*L35+M35*N35)</f>
        <v>707866.82146751997</v>
      </c>
      <c r="V35" s="29">
        <f t="shared" si="1"/>
        <v>608765.46646206721</v>
      </c>
    </row>
    <row r="36" spans="1:22" x14ac:dyDescent="0.4">
      <c r="A36" s="225"/>
      <c r="B36" s="235"/>
      <c r="C36" s="246"/>
      <c r="D36" s="246" t="s">
        <v>89</v>
      </c>
      <c r="E36" s="23" t="s">
        <v>98</v>
      </c>
      <c r="F36" s="23">
        <v>30</v>
      </c>
      <c r="G36" s="7">
        <v>0</v>
      </c>
      <c r="H36" s="24">
        <v>515.779</v>
      </c>
      <c r="I36" s="7">
        <v>1425.6</v>
      </c>
      <c r="J36" s="24">
        <v>647.26700000000005</v>
      </c>
      <c r="K36" s="7">
        <v>0</v>
      </c>
      <c r="L36" s="24">
        <v>597.11</v>
      </c>
      <c r="M36" s="7">
        <v>0</v>
      </c>
      <c r="N36" s="24">
        <v>581.85500000000002</v>
      </c>
      <c r="O36" s="7">
        <v>1.2</v>
      </c>
      <c r="P36" s="7">
        <v>0.65</v>
      </c>
      <c r="Q36" s="34" t="s">
        <v>50</v>
      </c>
      <c r="R36" s="15" t="s">
        <v>50</v>
      </c>
      <c r="S36" s="7">
        <v>2.6</v>
      </c>
      <c r="T36" s="7">
        <v>0.22</v>
      </c>
      <c r="U36" s="34" t="s">
        <v>50</v>
      </c>
      <c r="V36" s="15" t="s">
        <v>50</v>
      </c>
    </row>
    <row r="37" spans="1:22" x14ac:dyDescent="0.4">
      <c r="A37" s="225"/>
      <c r="B37" s="235"/>
      <c r="C37" s="246"/>
      <c r="D37" s="246"/>
      <c r="E37" s="23" t="s">
        <v>100</v>
      </c>
      <c r="F37" s="23">
        <v>60</v>
      </c>
      <c r="G37" s="7">
        <v>0</v>
      </c>
      <c r="H37" s="24">
        <v>285.51049999999998</v>
      </c>
      <c r="I37" s="8">
        <v>10.5</v>
      </c>
      <c r="J37" s="24">
        <v>516.15200000000004</v>
      </c>
      <c r="K37" s="7">
        <v>5.25</v>
      </c>
      <c r="L37" s="24">
        <v>481.69099999999997</v>
      </c>
      <c r="M37" s="7">
        <v>5.25</v>
      </c>
      <c r="N37" s="24">
        <v>460.91500000000002</v>
      </c>
      <c r="O37" s="16">
        <v>1.2</v>
      </c>
      <c r="P37" s="16">
        <v>0.65</v>
      </c>
      <c r="Q37" s="144">
        <f>(O37*P37)*(G17*H17+I17*J17+K17*L17+M17*N17+G36*H36+I36*J36+K36*L36+M36*N36+G37*H37+I37*J37+K37*L37+M37*N37)</f>
        <v>1106801.5933259998</v>
      </c>
      <c r="R37" s="80">
        <f t="shared" si="0"/>
        <v>951849.37026035984</v>
      </c>
      <c r="S37" s="7">
        <v>2.6</v>
      </c>
      <c r="T37" s="16">
        <v>0.22</v>
      </c>
      <c r="U37" s="21">
        <f>(S37*T37)*(G17*H17+I17*J17+K17*L17+M17*N17+G36*H36+I36*J36+K36*L36+M36*N36+G37*H37+I37*J37+K37*L37+M37*N37)</f>
        <v>811654.50177239999</v>
      </c>
      <c r="V37" s="15">
        <f t="shared" si="1"/>
        <v>698022.87152426399</v>
      </c>
    </row>
    <row r="38" spans="1:22" x14ac:dyDescent="0.4">
      <c r="A38" s="225"/>
      <c r="B38" s="235"/>
      <c r="C38" s="246"/>
      <c r="D38" s="247" t="s">
        <v>90</v>
      </c>
      <c r="E38" s="32" t="s">
        <v>98</v>
      </c>
      <c r="F38" s="32">
        <v>30</v>
      </c>
      <c r="G38" s="27">
        <v>0</v>
      </c>
      <c r="H38" s="66">
        <v>515.779</v>
      </c>
      <c r="I38" s="27">
        <v>1425.6</v>
      </c>
      <c r="J38" s="66">
        <v>647.26700000000005</v>
      </c>
      <c r="K38" s="27">
        <v>0</v>
      </c>
      <c r="L38" s="66">
        <v>597.11</v>
      </c>
      <c r="M38" s="27">
        <v>0</v>
      </c>
      <c r="N38" s="66">
        <v>581.85500000000002</v>
      </c>
      <c r="O38" s="27">
        <v>1.2</v>
      </c>
      <c r="P38" s="27">
        <v>0.65</v>
      </c>
      <c r="Q38" s="33" t="s">
        <v>50</v>
      </c>
      <c r="R38" s="29" t="s">
        <v>50</v>
      </c>
      <c r="S38" s="27">
        <v>2.6</v>
      </c>
      <c r="T38" s="27">
        <v>0.22</v>
      </c>
      <c r="U38" s="35" t="s">
        <v>50</v>
      </c>
      <c r="V38" s="29" t="s">
        <v>50</v>
      </c>
    </row>
    <row r="39" spans="1:22" x14ac:dyDescent="0.4">
      <c r="A39" s="225"/>
      <c r="B39" s="235"/>
      <c r="C39" s="246"/>
      <c r="D39" s="247"/>
      <c r="E39" s="32" t="s">
        <v>101</v>
      </c>
      <c r="F39" s="32">
        <v>30</v>
      </c>
      <c r="G39" s="27">
        <v>0</v>
      </c>
      <c r="H39" s="66">
        <v>515.779</v>
      </c>
      <c r="I39" s="28">
        <v>10.5</v>
      </c>
      <c r="J39" s="66">
        <v>647.26700000000005</v>
      </c>
      <c r="K39" s="27">
        <v>5.25</v>
      </c>
      <c r="L39" s="66">
        <v>597.11</v>
      </c>
      <c r="M39" s="27">
        <v>5.25</v>
      </c>
      <c r="N39" s="66">
        <v>581.85500000000002</v>
      </c>
      <c r="O39" s="30">
        <v>1.2</v>
      </c>
      <c r="P39" s="30">
        <v>0.65</v>
      </c>
      <c r="Q39" s="143">
        <f>(O39*P39)*(G17*H17+I17*J17+K17*L17+M17*N17+G38*H38+I38*J38+K38*L38+M38*N38+G39*H39+I39*J39+K39*L39+M39*N39)</f>
        <v>1108843.315281</v>
      </c>
      <c r="R39" s="80">
        <f t="shared" si="0"/>
        <v>953605.25114166003</v>
      </c>
      <c r="S39" s="27">
        <v>2.6</v>
      </c>
      <c r="T39" s="30">
        <v>0.22</v>
      </c>
      <c r="U39" s="2">
        <f>(S39*T39)*(G17*H17+I17*J17+K17*L17+M17*N17+G38*H38+I38*J38+K38*L38+M38*N38+G39*H39+I39*J39+K39*L39+M39*N39)</f>
        <v>813151.7645394</v>
      </c>
      <c r="V39" s="29">
        <f t="shared" si="1"/>
        <v>699310.51750388404</v>
      </c>
    </row>
    <row r="40" spans="1:22" x14ac:dyDescent="0.4">
      <c r="A40" s="225"/>
      <c r="B40" s="235"/>
      <c r="C40" s="246"/>
      <c r="D40" s="246" t="s">
        <v>91</v>
      </c>
      <c r="E40" s="23" t="s">
        <v>98</v>
      </c>
      <c r="F40" s="23">
        <v>30</v>
      </c>
      <c r="G40" s="7">
        <v>0</v>
      </c>
      <c r="H40" s="24">
        <v>515.779</v>
      </c>
      <c r="I40" s="7">
        <v>1425.6</v>
      </c>
      <c r="J40" s="24">
        <v>647.26700000000005</v>
      </c>
      <c r="K40" s="7">
        <v>0</v>
      </c>
      <c r="L40" s="24">
        <v>597.11</v>
      </c>
      <c r="M40" s="7">
        <v>0</v>
      </c>
      <c r="N40" s="24">
        <v>581.85500000000002</v>
      </c>
      <c r="O40" s="7">
        <v>1.2</v>
      </c>
      <c r="P40" s="7">
        <v>0.65</v>
      </c>
      <c r="Q40" s="34" t="s">
        <v>50</v>
      </c>
      <c r="R40" s="15" t="s">
        <v>50</v>
      </c>
      <c r="S40" s="7">
        <v>2.6</v>
      </c>
      <c r="T40" s="7">
        <v>0.22</v>
      </c>
      <c r="U40" s="34" t="s">
        <v>50</v>
      </c>
      <c r="V40" s="15" t="s">
        <v>50</v>
      </c>
    </row>
    <row r="41" spans="1:22" x14ac:dyDescent="0.4">
      <c r="A41" s="225"/>
      <c r="B41" s="235"/>
      <c r="C41" s="246"/>
      <c r="D41" s="246"/>
      <c r="E41" s="23" t="s">
        <v>102</v>
      </c>
      <c r="F41" s="23">
        <v>0</v>
      </c>
      <c r="G41" s="7">
        <v>0</v>
      </c>
      <c r="H41" s="24">
        <v>641.43100000000004</v>
      </c>
      <c r="I41" s="8">
        <v>10.5</v>
      </c>
      <c r="J41" s="24">
        <v>641.43100000000004</v>
      </c>
      <c r="K41" s="7">
        <v>5.25</v>
      </c>
      <c r="L41" s="24">
        <v>641.43100000000004</v>
      </c>
      <c r="M41" s="7">
        <v>5.25</v>
      </c>
      <c r="N41" s="24">
        <v>641.43100000000004</v>
      </c>
      <c r="O41" s="16">
        <v>1.2</v>
      </c>
      <c r="P41" s="16">
        <v>0.65</v>
      </c>
      <c r="Q41" s="144">
        <f>(O41*P41)*(G17*H17+I17*J17+K17*L17+M17*N17+G40*H40+I40*J40+K40*L40+M40*N40+G41*H41+I41*J41+K41*L41+M41*N41)</f>
        <v>1109220.9766559999</v>
      </c>
      <c r="R41" s="80">
        <f t="shared" si="0"/>
        <v>953930.03992415988</v>
      </c>
      <c r="S41" s="7">
        <v>2.6</v>
      </c>
      <c r="T41" s="16">
        <v>0.22</v>
      </c>
      <c r="U41" s="21">
        <f>(S41*T41)*(G17*H17+I17*J17+K17*L17+M17*N17+G40*H40+I40*J40+K40*L40+M40*N40+G41*H41+I41*J41+K41*L41+M41*N41)</f>
        <v>813428.71621440002</v>
      </c>
      <c r="V41" s="15">
        <f t="shared" si="1"/>
        <v>699548.69594438397</v>
      </c>
    </row>
    <row r="42" spans="1:22" x14ac:dyDescent="0.4">
      <c r="A42" s="225"/>
      <c r="B42" s="235"/>
      <c r="C42" s="246"/>
      <c r="D42" s="247" t="s">
        <v>92</v>
      </c>
      <c r="E42" s="32" t="s">
        <v>99</v>
      </c>
      <c r="F42" s="32">
        <v>30</v>
      </c>
      <c r="G42" s="27">
        <v>0</v>
      </c>
      <c r="H42" s="66">
        <v>515.779</v>
      </c>
      <c r="I42" s="27">
        <v>1710.72</v>
      </c>
      <c r="J42" s="66">
        <v>647.26700000000005</v>
      </c>
      <c r="K42" s="27">
        <v>0</v>
      </c>
      <c r="L42" s="66">
        <v>597.11</v>
      </c>
      <c r="M42" s="27">
        <v>0</v>
      </c>
      <c r="N42" s="66">
        <v>581.85500000000002</v>
      </c>
      <c r="O42" s="27">
        <v>1.2</v>
      </c>
      <c r="P42" s="27">
        <v>0.65</v>
      </c>
      <c r="Q42" s="33" t="s">
        <v>50</v>
      </c>
      <c r="R42" s="29" t="s">
        <v>50</v>
      </c>
      <c r="S42" s="27">
        <v>2.6</v>
      </c>
      <c r="T42" s="27">
        <v>0.22</v>
      </c>
      <c r="U42" s="33" t="s">
        <v>50</v>
      </c>
      <c r="V42" s="29" t="s">
        <v>50</v>
      </c>
    </row>
    <row r="43" spans="1:22" x14ac:dyDescent="0.4">
      <c r="A43" s="225"/>
      <c r="B43" s="235"/>
      <c r="C43" s="246"/>
      <c r="D43" s="247"/>
      <c r="E43" s="32" t="s">
        <v>100</v>
      </c>
      <c r="F43" s="32">
        <v>60</v>
      </c>
      <c r="G43" s="27">
        <v>0</v>
      </c>
      <c r="H43" s="66">
        <v>285.51049999999998</v>
      </c>
      <c r="I43" s="28">
        <v>10.5</v>
      </c>
      <c r="J43" s="66">
        <v>516.15200000000004</v>
      </c>
      <c r="K43" s="27">
        <v>5.25</v>
      </c>
      <c r="L43" s="66">
        <v>481.69099999999997</v>
      </c>
      <c r="M43" s="27">
        <v>5.25</v>
      </c>
      <c r="N43" s="66">
        <v>460.91500000000002</v>
      </c>
      <c r="O43" s="30">
        <v>1.2</v>
      </c>
      <c r="P43" s="30">
        <v>0.65</v>
      </c>
      <c r="Q43" s="143">
        <f>(O43*P43)*(G17*H17+I17*J17+K17*L17+M17*N17+G42*H42+I42*J42+K42*L42+M42*N42+G43*H43+I43*J43+K43*L43+M43*N43)</f>
        <v>1250749.6316171999</v>
      </c>
      <c r="R43" s="80">
        <f t="shared" si="0"/>
        <v>1075644.6831907919</v>
      </c>
      <c r="S43" s="27">
        <v>2.6</v>
      </c>
      <c r="T43" s="30">
        <v>0.22</v>
      </c>
      <c r="U43" s="143">
        <f>(S43*T43)*(G17*H17+I17*J17+K17*L17+M17*N17+G42*H42+I42*J42+K42*L42+M42*N42+G43*H43+I43*J43+K43*L43+M43*N43)</f>
        <v>917216.39651928004</v>
      </c>
      <c r="V43" s="29">
        <f t="shared" si="1"/>
        <v>788806.10100658087</v>
      </c>
    </row>
    <row r="44" spans="1:22" x14ac:dyDescent="0.4">
      <c r="A44" s="225"/>
      <c r="B44" s="235"/>
      <c r="C44" s="246"/>
      <c r="D44" s="246" t="s">
        <v>93</v>
      </c>
      <c r="E44" s="23" t="s">
        <v>99</v>
      </c>
      <c r="F44" s="23">
        <v>30</v>
      </c>
      <c r="G44" s="7">
        <v>0</v>
      </c>
      <c r="H44" s="24">
        <v>515.779</v>
      </c>
      <c r="I44" s="7">
        <v>1710.72</v>
      </c>
      <c r="J44" s="24">
        <v>647.26700000000005</v>
      </c>
      <c r="K44" s="7">
        <v>0</v>
      </c>
      <c r="L44" s="24">
        <v>597.11</v>
      </c>
      <c r="M44" s="7">
        <v>0</v>
      </c>
      <c r="N44" s="24">
        <v>581.85500000000002</v>
      </c>
      <c r="O44" s="7">
        <v>1.2</v>
      </c>
      <c r="P44" s="7">
        <v>0.65</v>
      </c>
      <c r="Q44" s="34" t="s">
        <v>50</v>
      </c>
      <c r="R44" s="15" t="s">
        <v>50</v>
      </c>
      <c r="S44" s="7">
        <v>2.6</v>
      </c>
      <c r="T44" s="7">
        <v>0.22</v>
      </c>
      <c r="U44" s="34" t="s">
        <v>50</v>
      </c>
      <c r="V44" s="15" t="s">
        <v>50</v>
      </c>
    </row>
    <row r="45" spans="1:22" x14ac:dyDescent="0.4">
      <c r="A45" s="225"/>
      <c r="B45" s="235"/>
      <c r="C45" s="246"/>
      <c r="D45" s="246"/>
      <c r="E45" s="23" t="s">
        <v>101</v>
      </c>
      <c r="F45" s="23">
        <v>30</v>
      </c>
      <c r="G45" s="7">
        <v>0</v>
      </c>
      <c r="H45" s="24">
        <v>515.779</v>
      </c>
      <c r="I45" s="8">
        <v>10.5</v>
      </c>
      <c r="J45" s="24">
        <v>647.26700000000005</v>
      </c>
      <c r="K45" s="7">
        <v>5.25</v>
      </c>
      <c r="L45" s="24">
        <v>597.11</v>
      </c>
      <c r="M45" s="7">
        <v>5.25</v>
      </c>
      <c r="N45" s="24">
        <v>581.85500000000002</v>
      </c>
      <c r="O45" s="16">
        <v>1.2</v>
      </c>
      <c r="P45" s="16">
        <v>0.65</v>
      </c>
      <c r="Q45" s="144">
        <f>(O45*P45)*(G17*H17+I17*J17+K17*L17+M17*N17+G44*H44+I44*J44+K44*L44+M44*N44+G45*H45+I45*J45+K45*L45+M45*N45)</f>
        <v>1252791.3535722001</v>
      </c>
      <c r="R45" s="80">
        <f t="shared" si="0"/>
        <v>1077400.5640720921</v>
      </c>
      <c r="S45" s="7">
        <v>2.6</v>
      </c>
      <c r="T45" s="16">
        <v>0.22</v>
      </c>
      <c r="U45" s="144">
        <f>(S45*T45)*(G17*H17+I17*J17+K17*L17+M17*N17+G44*H44+I44*J44+K44*L44+M44*N44+G45*H45+I45*J45+K45*L45+M45*N45)</f>
        <v>918713.65928628005</v>
      </c>
      <c r="V45" s="15">
        <f t="shared" si="1"/>
        <v>790093.7469862008</v>
      </c>
    </row>
    <row r="46" spans="1:22" x14ac:dyDescent="0.4">
      <c r="A46" s="225"/>
      <c r="B46" s="235"/>
      <c r="C46" s="246"/>
      <c r="D46" s="247" t="s">
        <v>94</v>
      </c>
      <c r="E46" s="32" t="s">
        <v>99</v>
      </c>
      <c r="F46" s="32">
        <v>30</v>
      </c>
      <c r="G46" s="27">
        <v>0</v>
      </c>
      <c r="H46" s="66">
        <v>515.779</v>
      </c>
      <c r="I46" s="27">
        <v>1710.72</v>
      </c>
      <c r="J46" s="66">
        <v>647.26700000000005</v>
      </c>
      <c r="K46" s="27">
        <v>0</v>
      </c>
      <c r="L46" s="66">
        <v>597.11</v>
      </c>
      <c r="M46" s="27">
        <v>0</v>
      </c>
      <c r="N46" s="66">
        <v>581.85500000000002</v>
      </c>
      <c r="O46" s="27">
        <v>1.2</v>
      </c>
      <c r="P46" s="27">
        <v>0.65</v>
      </c>
      <c r="Q46" s="33" t="s">
        <v>50</v>
      </c>
      <c r="R46" s="29" t="s">
        <v>50</v>
      </c>
      <c r="S46" s="27">
        <v>2.6</v>
      </c>
      <c r="T46" s="27">
        <v>0.22</v>
      </c>
      <c r="U46" s="33" t="s">
        <v>50</v>
      </c>
      <c r="V46" s="29" t="s">
        <v>50</v>
      </c>
    </row>
    <row r="47" spans="1:22" x14ac:dyDescent="0.4">
      <c r="A47" s="225"/>
      <c r="B47" s="236"/>
      <c r="C47" s="246"/>
      <c r="D47" s="247"/>
      <c r="E47" s="32" t="s">
        <v>103</v>
      </c>
      <c r="F47" s="32">
        <v>0</v>
      </c>
      <c r="G47" s="27">
        <v>0</v>
      </c>
      <c r="H47" s="66">
        <v>641.43100000000004</v>
      </c>
      <c r="I47" s="28">
        <v>10.5</v>
      </c>
      <c r="J47" s="66">
        <v>641.43100000000004</v>
      </c>
      <c r="K47" s="27">
        <v>5.25</v>
      </c>
      <c r="L47" s="66">
        <v>641.43100000000004</v>
      </c>
      <c r="M47" s="27">
        <v>5.25</v>
      </c>
      <c r="N47" s="66">
        <v>641.43100000000004</v>
      </c>
      <c r="O47" s="30">
        <v>1.2</v>
      </c>
      <c r="P47" s="30">
        <v>0.65</v>
      </c>
      <c r="Q47" s="143">
        <f>(O47*P47)*(G17*H17+I17*J17+K17*L17+M17*N17+G46*H46+I46*J46+K46*L46+M46*N46+G47*H47+I47*J47+K47*L47+M47*N47)</f>
        <v>1253169.0149472</v>
      </c>
      <c r="R47" s="80">
        <f t="shared" si="0"/>
        <v>1077725.352854592</v>
      </c>
      <c r="S47" s="27">
        <v>2.6</v>
      </c>
      <c r="T47" s="30">
        <v>0.22</v>
      </c>
      <c r="U47" s="143">
        <f>(S47*T47)*(G17*H17+I17*J17+K17*L17+M17*N17+G46*H46+I46*J46+K46*L46+M46*N46+G47*H47+I47*J47+K47*L47+M47*N47)</f>
        <v>918990.61096128006</v>
      </c>
      <c r="V47" s="29">
        <f t="shared" si="1"/>
        <v>790331.92542670085</v>
      </c>
    </row>
    <row r="48" spans="1:22" x14ac:dyDescent="0.4">
      <c r="A48" s="225"/>
      <c r="B48" s="237" t="s">
        <v>104</v>
      </c>
      <c r="C48" s="240" t="s">
        <v>16</v>
      </c>
      <c r="D48" s="242" t="s">
        <v>56</v>
      </c>
      <c r="E48" s="243"/>
      <c r="F48" s="31">
        <v>90</v>
      </c>
      <c r="G48" s="31">
        <v>0</v>
      </c>
      <c r="H48" s="38">
        <v>159.5299</v>
      </c>
      <c r="I48" s="38">
        <v>1670</v>
      </c>
      <c r="J48" s="38">
        <v>290.93669999999997</v>
      </c>
      <c r="K48" s="31">
        <v>0</v>
      </c>
      <c r="L48" s="38">
        <v>343.45600000000002</v>
      </c>
      <c r="M48" s="31">
        <v>0</v>
      </c>
      <c r="N48" s="38">
        <v>327.40699999999998</v>
      </c>
      <c r="O48" s="37">
        <v>1.2</v>
      </c>
      <c r="P48" s="37">
        <v>0.65</v>
      </c>
      <c r="Q48" s="39" t="s">
        <v>50</v>
      </c>
      <c r="R48" s="19" t="s">
        <v>50</v>
      </c>
      <c r="S48" s="31">
        <v>2.6</v>
      </c>
      <c r="T48" s="37">
        <v>0.22</v>
      </c>
      <c r="U48" s="39" t="s">
        <v>50</v>
      </c>
      <c r="V48" s="19" t="s">
        <v>50</v>
      </c>
    </row>
    <row r="49" spans="1:22" x14ac:dyDescent="0.4">
      <c r="A49" s="225"/>
      <c r="B49" s="238"/>
      <c r="C49" s="241"/>
      <c r="D49" s="242" t="s">
        <v>75</v>
      </c>
      <c r="E49" s="243"/>
      <c r="F49" s="31">
        <v>90</v>
      </c>
      <c r="G49" s="31">
        <v>110.88</v>
      </c>
      <c r="H49" s="38">
        <v>159.5299</v>
      </c>
      <c r="I49" s="38">
        <v>63.36</v>
      </c>
      <c r="J49" s="38">
        <v>290.93669999999997</v>
      </c>
      <c r="K49" s="31">
        <v>269.27999999999997</v>
      </c>
      <c r="L49" s="38">
        <v>343.45600000000002</v>
      </c>
      <c r="M49" s="31">
        <v>269.27999999999997</v>
      </c>
      <c r="N49" s="38">
        <v>327.40699999999998</v>
      </c>
      <c r="O49" s="37">
        <v>1.2</v>
      </c>
      <c r="P49" s="37">
        <v>0.65</v>
      </c>
      <c r="Q49" s="39" t="s">
        <v>50</v>
      </c>
      <c r="R49" s="19" t="s">
        <v>50</v>
      </c>
      <c r="S49" s="31">
        <v>2.6</v>
      </c>
      <c r="T49" s="37">
        <v>0.22</v>
      </c>
      <c r="U49" s="39" t="s">
        <v>50</v>
      </c>
      <c r="V49" s="19" t="s">
        <v>50</v>
      </c>
    </row>
    <row r="50" spans="1:22" x14ac:dyDescent="0.4">
      <c r="A50" s="225"/>
      <c r="B50" s="238"/>
      <c r="C50" s="244" t="s">
        <v>79</v>
      </c>
      <c r="D50" s="245" t="s">
        <v>80</v>
      </c>
      <c r="E50" s="41" t="s">
        <v>95</v>
      </c>
      <c r="F50" s="41">
        <v>30</v>
      </c>
      <c r="G50" s="41">
        <v>0</v>
      </c>
      <c r="H50" s="42">
        <v>515.779</v>
      </c>
      <c r="I50" s="41">
        <v>427.68</v>
      </c>
      <c r="J50" s="42">
        <v>647.26700000000005</v>
      </c>
      <c r="K50" s="41">
        <v>0</v>
      </c>
      <c r="L50" s="42">
        <v>597.11</v>
      </c>
      <c r="M50" s="41">
        <v>0</v>
      </c>
      <c r="N50" s="42">
        <v>581.85500000000002</v>
      </c>
      <c r="O50" s="41">
        <v>1.2</v>
      </c>
      <c r="P50" s="41">
        <v>0.65</v>
      </c>
      <c r="Q50" s="43" t="s">
        <v>50</v>
      </c>
      <c r="R50" s="82" t="s">
        <v>50</v>
      </c>
      <c r="S50" s="41">
        <v>2.6</v>
      </c>
      <c r="T50" s="41">
        <v>0.22</v>
      </c>
      <c r="U50" s="43" t="s">
        <v>50</v>
      </c>
      <c r="V50" s="82" t="s">
        <v>50</v>
      </c>
    </row>
    <row r="51" spans="1:22" x14ac:dyDescent="0.4">
      <c r="A51" s="225"/>
      <c r="B51" s="238"/>
      <c r="C51" s="244"/>
      <c r="D51" s="245"/>
      <c r="E51" s="41" t="s">
        <v>100</v>
      </c>
      <c r="F51" s="41">
        <v>60</v>
      </c>
      <c r="G51" s="41">
        <v>0</v>
      </c>
      <c r="H51" s="42">
        <v>285.51049999999998</v>
      </c>
      <c r="I51" s="42">
        <v>10.5</v>
      </c>
      <c r="J51" s="42">
        <v>516.15200000000004</v>
      </c>
      <c r="K51" s="41">
        <v>5.25</v>
      </c>
      <c r="L51" s="42">
        <v>481.69099999999997</v>
      </c>
      <c r="M51" s="41">
        <v>5.25</v>
      </c>
      <c r="N51" s="42">
        <v>460.91500000000002</v>
      </c>
      <c r="O51" s="44">
        <v>1.2</v>
      </c>
      <c r="P51" s="44">
        <v>0.65</v>
      </c>
      <c r="Q51" s="45">
        <f>(O51*P51)*(G48*H48+I48*J48+K48*L48+M48*N48+G49*H49+I49*J49+K49*L49+M49*N49+G50*H50+I50*J50+K50*L50+M50*N50+G51*H51+I51*J51+K51*L51+M51*N51)</f>
        <v>772065.94165271998</v>
      </c>
      <c r="R51" s="82">
        <f t="shared" si="0"/>
        <v>663976.70982133911</v>
      </c>
      <c r="S51" s="41">
        <v>2.6</v>
      </c>
      <c r="T51" s="44">
        <v>0.22</v>
      </c>
      <c r="U51" s="45">
        <f>(S51*T51)*(G48*H48+I48*J48+K48*L48+M48*N48+G49*H49+I49*J49+K49*L49+M49*N49+G50*H50+I50*J50+K50*L50+M50*N50+G51*H51+I51*J51+K51*L51+M51*N51)</f>
        <v>566181.69054532796</v>
      </c>
      <c r="V51" s="82">
        <f t="shared" si="1"/>
        <v>486916.25386898202</v>
      </c>
    </row>
    <row r="52" spans="1:22" x14ac:dyDescent="0.4">
      <c r="A52" s="225"/>
      <c r="B52" s="238"/>
      <c r="C52" s="244"/>
      <c r="D52" s="244" t="s">
        <v>81</v>
      </c>
      <c r="E52" s="31" t="s">
        <v>95</v>
      </c>
      <c r="F52" s="31">
        <v>30</v>
      </c>
      <c r="G52" s="31">
        <v>0</v>
      </c>
      <c r="H52" s="38">
        <v>515.779</v>
      </c>
      <c r="I52" s="31">
        <v>427.68</v>
      </c>
      <c r="J52" s="38">
        <v>647.26700000000005</v>
      </c>
      <c r="K52" s="31">
        <v>0</v>
      </c>
      <c r="L52" s="38">
        <v>597.11</v>
      </c>
      <c r="M52" s="31">
        <v>0</v>
      </c>
      <c r="N52" s="38">
        <v>581.85500000000002</v>
      </c>
      <c r="O52" s="31">
        <v>1.2</v>
      </c>
      <c r="P52" s="31">
        <v>0.65</v>
      </c>
      <c r="Q52" s="40" t="s">
        <v>50</v>
      </c>
      <c r="R52" s="19" t="s">
        <v>50</v>
      </c>
      <c r="S52" s="31">
        <v>2.6</v>
      </c>
      <c r="T52" s="31">
        <v>0.22</v>
      </c>
      <c r="U52" s="40" t="s">
        <v>50</v>
      </c>
      <c r="V52" s="19" t="s">
        <v>50</v>
      </c>
    </row>
    <row r="53" spans="1:22" x14ac:dyDescent="0.4">
      <c r="A53" s="225"/>
      <c r="B53" s="238"/>
      <c r="C53" s="244"/>
      <c r="D53" s="244"/>
      <c r="E53" s="31" t="s">
        <v>101</v>
      </c>
      <c r="F53" s="31">
        <v>30</v>
      </c>
      <c r="G53" s="31">
        <v>0</v>
      </c>
      <c r="H53" s="38">
        <v>515.779</v>
      </c>
      <c r="I53" s="38">
        <v>10.5</v>
      </c>
      <c r="J53" s="38">
        <v>647.26700000000005</v>
      </c>
      <c r="K53" s="31">
        <v>5.25</v>
      </c>
      <c r="L53" s="38">
        <v>597.11</v>
      </c>
      <c r="M53" s="31">
        <v>5.25</v>
      </c>
      <c r="N53" s="38">
        <v>581.85500000000002</v>
      </c>
      <c r="O53" s="37">
        <v>1.2</v>
      </c>
      <c r="P53" s="37">
        <v>0.65</v>
      </c>
      <c r="Q53" s="22">
        <f>(O53*P53)*(G48*H48+I48*J48+K48*L48+M48*N48+G49*H49+I49*J49+K49*L49+M49*N49+G52*H52+I52*J52+K52*L52+M52*N52+G53*H53+I53*J53+K53*L53+M53*N53)</f>
        <v>774107.66360772005</v>
      </c>
      <c r="R53" s="19">
        <f t="shared" si="0"/>
        <v>665732.59070263919</v>
      </c>
      <c r="S53" s="31">
        <v>2.6</v>
      </c>
      <c r="T53" s="37">
        <v>0.22</v>
      </c>
      <c r="U53" s="22">
        <f>(S53*T53)*(G48*H48+I48*J48+K48*L48+M48*N48+G49*H49+I49*J49+K49*L49+M49*N49+G52*H52+I52*J52+K52*L52+M52*N52+G53*H53+I53*J53+K53*L53+M53*N53)</f>
        <v>567678.95331232809</v>
      </c>
      <c r="V53" s="19">
        <f t="shared" si="1"/>
        <v>488203.89984860213</v>
      </c>
    </row>
    <row r="54" spans="1:22" x14ac:dyDescent="0.4">
      <c r="A54" s="225"/>
      <c r="B54" s="238"/>
      <c r="C54" s="244"/>
      <c r="D54" s="245" t="s">
        <v>82</v>
      </c>
      <c r="E54" s="41" t="s">
        <v>95</v>
      </c>
      <c r="F54" s="41">
        <v>30</v>
      </c>
      <c r="G54" s="41">
        <v>0</v>
      </c>
      <c r="H54" s="42">
        <v>515.779</v>
      </c>
      <c r="I54" s="41">
        <v>427.68</v>
      </c>
      <c r="J54" s="42">
        <v>647.26700000000005</v>
      </c>
      <c r="K54" s="41">
        <v>0</v>
      </c>
      <c r="L54" s="42">
        <v>597.11</v>
      </c>
      <c r="M54" s="41">
        <v>0</v>
      </c>
      <c r="N54" s="42">
        <v>581.85500000000002</v>
      </c>
      <c r="O54" s="41">
        <v>1.2</v>
      </c>
      <c r="P54" s="41">
        <v>0.65</v>
      </c>
      <c r="Q54" s="43" t="s">
        <v>50</v>
      </c>
      <c r="R54" s="82" t="s">
        <v>50</v>
      </c>
      <c r="S54" s="41">
        <v>2.6</v>
      </c>
      <c r="T54" s="41">
        <v>0.22</v>
      </c>
      <c r="U54" s="43" t="s">
        <v>50</v>
      </c>
      <c r="V54" s="82" t="s">
        <v>50</v>
      </c>
    </row>
    <row r="55" spans="1:22" x14ac:dyDescent="0.4">
      <c r="A55" s="225"/>
      <c r="B55" s="238"/>
      <c r="C55" s="244"/>
      <c r="D55" s="245"/>
      <c r="E55" s="41" t="s">
        <v>102</v>
      </c>
      <c r="F55" s="41">
        <v>0</v>
      </c>
      <c r="G55" s="41">
        <v>0</v>
      </c>
      <c r="H55" s="42">
        <v>641.43100000000004</v>
      </c>
      <c r="I55" s="42">
        <v>10.5</v>
      </c>
      <c r="J55" s="42">
        <v>641.43100000000004</v>
      </c>
      <c r="K55" s="41">
        <v>5.25</v>
      </c>
      <c r="L55" s="42">
        <v>641.43100000000004</v>
      </c>
      <c r="M55" s="41">
        <v>5.25</v>
      </c>
      <c r="N55" s="42">
        <v>641.43100000000004</v>
      </c>
      <c r="O55" s="44">
        <v>1.2</v>
      </c>
      <c r="P55" s="44">
        <v>0.65</v>
      </c>
      <c r="Q55" s="45">
        <f>(O55*P55)*(G48*H48+I48*J48+K48*L48+M48*N48+G49*H49+I49*J49+K49*L49+M49*N49+G54*H54+I54*J54+K54*L54+M54*N54+G55*H55+I55*J55+K55*L55+M55*N55)</f>
        <v>774485.32498271996</v>
      </c>
      <c r="R55" s="82">
        <f t="shared" si="0"/>
        <v>666057.37948513916</v>
      </c>
      <c r="S55" s="41">
        <v>2.6</v>
      </c>
      <c r="T55" s="44">
        <v>0.22</v>
      </c>
      <c r="U55" s="45">
        <f>(S55*T55)*(G48*H48+I48*J48+K48*L48+M48*N48+G49*H49+I49*J49+K49*L49+M49*N49+G54*H54+I54*J54+K54*L54+M54*N54+G55*H55+I55*J55+K55*L55+M55*N55)</f>
        <v>567955.90498732799</v>
      </c>
      <c r="V55" s="82">
        <f t="shared" si="1"/>
        <v>488442.07828910206</v>
      </c>
    </row>
    <row r="56" spans="1:22" x14ac:dyDescent="0.4">
      <c r="A56" s="225"/>
      <c r="B56" s="238"/>
      <c r="C56" s="244"/>
      <c r="D56" s="244" t="s">
        <v>83</v>
      </c>
      <c r="E56" s="31" t="s">
        <v>96</v>
      </c>
      <c r="F56" s="31">
        <v>30</v>
      </c>
      <c r="G56" s="31">
        <v>0</v>
      </c>
      <c r="H56" s="38">
        <v>515.779</v>
      </c>
      <c r="I56" s="31">
        <v>712.8</v>
      </c>
      <c r="J56" s="38">
        <v>647.26700000000005</v>
      </c>
      <c r="K56" s="31">
        <v>0</v>
      </c>
      <c r="L56" s="38">
        <v>597.11</v>
      </c>
      <c r="M56" s="31">
        <v>0</v>
      </c>
      <c r="N56" s="38">
        <v>581.85500000000002</v>
      </c>
      <c r="O56" s="31">
        <v>1.2</v>
      </c>
      <c r="P56" s="31">
        <v>0.65</v>
      </c>
      <c r="Q56" s="40" t="s">
        <v>50</v>
      </c>
      <c r="R56" s="19" t="s">
        <v>50</v>
      </c>
      <c r="S56" s="31">
        <v>2.6</v>
      </c>
      <c r="T56" s="31">
        <v>0.22</v>
      </c>
      <c r="U56" s="40" t="s">
        <v>50</v>
      </c>
      <c r="V56" s="19" t="s">
        <v>50</v>
      </c>
    </row>
    <row r="57" spans="1:22" x14ac:dyDescent="0.4">
      <c r="A57" s="225"/>
      <c r="B57" s="238"/>
      <c r="C57" s="244"/>
      <c r="D57" s="244"/>
      <c r="E57" s="31" t="s">
        <v>100</v>
      </c>
      <c r="F57" s="31">
        <v>60</v>
      </c>
      <c r="G57" s="31">
        <v>0</v>
      </c>
      <c r="H57" s="38">
        <v>285.51049999999998</v>
      </c>
      <c r="I57" s="38">
        <v>10.5</v>
      </c>
      <c r="J57" s="38">
        <v>516.15200000000004</v>
      </c>
      <c r="K57" s="31">
        <v>5.25</v>
      </c>
      <c r="L57" s="38">
        <v>481.69099999999997</v>
      </c>
      <c r="M57" s="31">
        <v>5.25</v>
      </c>
      <c r="N57" s="38">
        <v>460.91500000000002</v>
      </c>
      <c r="O57" s="37">
        <v>1.2</v>
      </c>
      <c r="P57" s="37">
        <v>0.65</v>
      </c>
      <c r="Q57" s="146">
        <f>(O57*P57)*(G48*H48+I48*J48+K48*L48+M48*N48+G49*H49+I49*J49+K49*L49+M49*N49+G56*H56+I56*J56+K56*L56+M56*N56+G57*H57+I57*J57+K57*L57+M57*N57)</f>
        <v>916013.97994391993</v>
      </c>
      <c r="R57" s="19">
        <f t="shared" si="0"/>
        <v>787772.02275177115</v>
      </c>
      <c r="S57" s="31">
        <v>2.6</v>
      </c>
      <c r="T57" s="37">
        <v>0.22</v>
      </c>
      <c r="U57" s="22">
        <f>(S57*T57)*(G48*H48+I48*J48+K48*L48+M48*N48+G49*H49+I49*J49+K49*L49+M49*N49+G56*H56+I56*J56+K56*L56+M56*N56+G57*H57+I57*J57+K57*L57+M57*N57)</f>
        <v>671743.58529220801</v>
      </c>
      <c r="V57" s="19">
        <f t="shared" si="1"/>
        <v>577699.48335129884</v>
      </c>
    </row>
    <row r="58" spans="1:22" x14ac:dyDescent="0.4">
      <c r="A58" s="225"/>
      <c r="B58" s="238"/>
      <c r="C58" s="244"/>
      <c r="D58" s="245" t="s">
        <v>84</v>
      </c>
      <c r="E58" s="41" t="s">
        <v>96</v>
      </c>
      <c r="F58" s="41">
        <v>30</v>
      </c>
      <c r="G58" s="41">
        <v>0</v>
      </c>
      <c r="H58" s="42">
        <v>515.779</v>
      </c>
      <c r="I58" s="41">
        <v>712.8</v>
      </c>
      <c r="J58" s="42">
        <v>647.26700000000005</v>
      </c>
      <c r="K58" s="41">
        <v>0</v>
      </c>
      <c r="L58" s="42">
        <v>597.11</v>
      </c>
      <c r="M58" s="41">
        <v>0</v>
      </c>
      <c r="N58" s="42">
        <v>581.85500000000002</v>
      </c>
      <c r="O58" s="41">
        <v>1.2</v>
      </c>
      <c r="P58" s="41">
        <v>0.65</v>
      </c>
      <c r="Q58" s="43" t="s">
        <v>50</v>
      </c>
      <c r="R58" s="82" t="s">
        <v>50</v>
      </c>
      <c r="S58" s="41">
        <v>2.6</v>
      </c>
      <c r="T58" s="41">
        <v>0.22</v>
      </c>
      <c r="U58" s="43" t="s">
        <v>50</v>
      </c>
      <c r="V58" s="82" t="s">
        <v>50</v>
      </c>
    </row>
    <row r="59" spans="1:22" x14ac:dyDescent="0.4">
      <c r="A59" s="225"/>
      <c r="B59" s="238"/>
      <c r="C59" s="244"/>
      <c r="D59" s="245"/>
      <c r="E59" s="41" t="s">
        <v>101</v>
      </c>
      <c r="F59" s="41">
        <v>30</v>
      </c>
      <c r="G59" s="41">
        <v>0</v>
      </c>
      <c r="H59" s="42">
        <v>515.779</v>
      </c>
      <c r="I59" s="42">
        <v>10.5</v>
      </c>
      <c r="J59" s="42">
        <v>647.26700000000005</v>
      </c>
      <c r="K59" s="41">
        <v>5.25</v>
      </c>
      <c r="L59" s="42">
        <v>597.11</v>
      </c>
      <c r="M59" s="41">
        <v>5.25</v>
      </c>
      <c r="N59" s="42">
        <v>581.85500000000002</v>
      </c>
      <c r="O59" s="44">
        <v>1.2</v>
      </c>
      <c r="P59" s="44">
        <v>0.65</v>
      </c>
      <c r="Q59" s="147">
        <f>(O59*P59)*(G48*H48+I48*J48+K48*L48+M48*N48+G49*H49+I49*J49+K49*L49+M49*N49+G58*H58+I58*J58+K58*L58+M58*N58+G59*H59+I59*J59+K59*L59+M59*N59)</f>
        <v>918055.70189891988</v>
      </c>
      <c r="R59" s="82">
        <f t="shared" si="0"/>
        <v>789527.90363307111</v>
      </c>
      <c r="S59" s="41">
        <v>2.6</v>
      </c>
      <c r="T59" s="44">
        <v>0.22</v>
      </c>
      <c r="U59" s="45">
        <f>(S59*T59)*(G48*H48+I48*J48+K48*L48+M48*N48+G49*H49+I49*J49+K49*L49+M49*N49+G58*H58+I58*J58+K58*L58+M58*N58+G59*H59+I59*J59+K59*L59+M59*N59)</f>
        <v>673240.84805920802</v>
      </c>
      <c r="V59" s="82">
        <f t="shared" si="1"/>
        <v>578987.12933091889</v>
      </c>
    </row>
    <row r="60" spans="1:22" x14ac:dyDescent="0.4">
      <c r="A60" s="225"/>
      <c r="B60" s="238"/>
      <c r="C60" s="244"/>
      <c r="D60" s="244" t="s">
        <v>85</v>
      </c>
      <c r="E60" s="31" t="s">
        <v>96</v>
      </c>
      <c r="F60" s="31">
        <v>30</v>
      </c>
      <c r="G60" s="31">
        <v>0</v>
      </c>
      <c r="H60" s="38">
        <v>515.779</v>
      </c>
      <c r="I60" s="31">
        <v>712.8</v>
      </c>
      <c r="J60" s="38">
        <v>647.26700000000005</v>
      </c>
      <c r="K60" s="31">
        <v>0</v>
      </c>
      <c r="L60" s="38">
        <v>597.11</v>
      </c>
      <c r="M60" s="31">
        <v>0</v>
      </c>
      <c r="N60" s="38">
        <v>581.85500000000002</v>
      </c>
      <c r="O60" s="31">
        <v>1.2</v>
      </c>
      <c r="P60" s="31">
        <v>0.65</v>
      </c>
      <c r="Q60" s="40" t="s">
        <v>50</v>
      </c>
      <c r="R60" s="19" t="s">
        <v>50</v>
      </c>
      <c r="S60" s="31">
        <v>2.6</v>
      </c>
      <c r="T60" s="31">
        <v>0.22</v>
      </c>
      <c r="U60" s="40" t="s">
        <v>50</v>
      </c>
      <c r="V60" s="19" t="s">
        <v>50</v>
      </c>
    </row>
    <row r="61" spans="1:22" x14ac:dyDescent="0.4">
      <c r="A61" s="225"/>
      <c r="B61" s="238"/>
      <c r="C61" s="244"/>
      <c r="D61" s="244"/>
      <c r="E61" s="31" t="s">
        <v>102</v>
      </c>
      <c r="F61" s="31">
        <v>0</v>
      </c>
      <c r="G61" s="31">
        <v>0</v>
      </c>
      <c r="H61" s="38">
        <v>641.43100000000004</v>
      </c>
      <c r="I61" s="38">
        <v>10.5</v>
      </c>
      <c r="J61" s="38">
        <v>641.43100000000004</v>
      </c>
      <c r="K61" s="31">
        <v>5.25</v>
      </c>
      <c r="L61" s="38">
        <v>641.43100000000004</v>
      </c>
      <c r="M61" s="31">
        <v>5.25</v>
      </c>
      <c r="N61" s="38">
        <v>641.43100000000004</v>
      </c>
      <c r="O61" s="37">
        <v>1.2</v>
      </c>
      <c r="P61" s="37">
        <v>0.65</v>
      </c>
      <c r="Q61" s="146">
        <f>(O61*P61)*(G48*H48+I48*J48+K48*L48+M48*N48+G49*H49+I49*J49+K49*L49+M49*N49+G60*H60+I60*J60+K60*L60+M60*N60+G61*H61+I61*J61+K61*L61+M61*N61)</f>
        <v>918433.36327392003</v>
      </c>
      <c r="R61" s="19">
        <f t="shared" si="0"/>
        <v>789852.69241557119</v>
      </c>
      <c r="S61" s="31">
        <v>2.6</v>
      </c>
      <c r="T61" s="37">
        <v>0.22</v>
      </c>
      <c r="U61" s="22">
        <f>(S61*T61)*(G48*H48+I48*J48+K48*L48+M48*N48+G49*H49+I49*J49+K49*L49+M49*N49+G60*H60+I60*J60+K60*L60+M60*N60+G61*H61+I61*J61+K61*L61+M61*N61)</f>
        <v>673517.79973420803</v>
      </c>
      <c r="V61" s="19">
        <f t="shared" si="1"/>
        <v>579225.30777141894</v>
      </c>
    </row>
    <row r="62" spans="1:22" x14ac:dyDescent="0.4">
      <c r="A62" s="225"/>
      <c r="B62" s="238"/>
      <c r="C62" s="244"/>
      <c r="D62" s="245" t="s">
        <v>86</v>
      </c>
      <c r="E62" s="41" t="s">
        <v>97</v>
      </c>
      <c r="F62" s="41">
        <v>30</v>
      </c>
      <c r="G62" s="41">
        <v>0</v>
      </c>
      <c r="H62" s="42">
        <v>515.779</v>
      </c>
      <c r="I62" s="41">
        <v>1140.48</v>
      </c>
      <c r="J62" s="42">
        <v>647.26700000000005</v>
      </c>
      <c r="K62" s="41">
        <v>0</v>
      </c>
      <c r="L62" s="42">
        <v>597.11</v>
      </c>
      <c r="M62" s="41">
        <v>0</v>
      </c>
      <c r="N62" s="42">
        <v>581.85500000000002</v>
      </c>
      <c r="O62" s="41">
        <v>1.2</v>
      </c>
      <c r="P62" s="41">
        <v>0.65</v>
      </c>
      <c r="Q62" s="43" t="s">
        <v>50</v>
      </c>
      <c r="R62" s="82" t="s">
        <v>50</v>
      </c>
      <c r="S62" s="41">
        <v>2.6</v>
      </c>
      <c r="T62" s="41">
        <v>0.22</v>
      </c>
      <c r="U62" s="43" t="s">
        <v>50</v>
      </c>
      <c r="V62" s="82" t="s">
        <v>50</v>
      </c>
    </row>
    <row r="63" spans="1:22" x14ac:dyDescent="0.4">
      <c r="A63" s="225"/>
      <c r="B63" s="238"/>
      <c r="C63" s="244"/>
      <c r="D63" s="245"/>
      <c r="E63" s="41" t="s">
        <v>100</v>
      </c>
      <c r="F63" s="41">
        <v>60</v>
      </c>
      <c r="G63" s="41">
        <v>0</v>
      </c>
      <c r="H63" s="42">
        <v>285.51049999999998</v>
      </c>
      <c r="I63" s="42">
        <v>10.5</v>
      </c>
      <c r="J63" s="42">
        <v>516.15200000000004</v>
      </c>
      <c r="K63" s="41">
        <v>5.25</v>
      </c>
      <c r="L63" s="42">
        <v>481.69099999999997</v>
      </c>
      <c r="M63" s="41">
        <v>5.25</v>
      </c>
      <c r="N63" s="42">
        <v>460.91500000000002</v>
      </c>
      <c r="O63" s="44">
        <v>1.2</v>
      </c>
      <c r="P63" s="44">
        <v>0.65</v>
      </c>
      <c r="Q63" s="147">
        <f>(O63*P63)*(G48*H48+I48*J48+K48*L48+M48*N48+G49*H49+I49*J49+K49*L49+M49*N49+G62*H62+I62*J62+K62*L62+M62*N62+G63*H63+I63*J63+K63*L63+M63*N63)</f>
        <v>1131936.03738072</v>
      </c>
      <c r="R63" s="80">
        <f t="shared" si="0"/>
        <v>973464.99214741925</v>
      </c>
      <c r="S63" s="41">
        <v>2.6</v>
      </c>
      <c r="T63" s="44">
        <v>0.22</v>
      </c>
      <c r="U63" s="45">
        <f>(S63*T63)*(G48*H48+I48*J48+K48*L48+M48*N48+G49*H49+I49*J49+K49*L49+M49*N49+G62*H62+I62*J62+K62*L62+M62*N62+G63*H63+I63*J63+K63*L63+M63*N63)</f>
        <v>830086.42741252796</v>
      </c>
      <c r="V63" s="82">
        <f t="shared" si="1"/>
        <v>713874.32757477404</v>
      </c>
    </row>
    <row r="64" spans="1:22" x14ac:dyDescent="0.4">
      <c r="A64" s="225"/>
      <c r="B64" s="238"/>
      <c r="C64" s="244"/>
      <c r="D64" s="244" t="s">
        <v>87</v>
      </c>
      <c r="E64" s="31" t="s">
        <v>97</v>
      </c>
      <c r="F64" s="31">
        <v>30</v>
      </c>
      <c r="G64" s="31">
        <v>0</v>
      </c>
      <c r="H64" s="38">
        <v>515.779</v>
      </c>
      <c r="I64" s="31">
        <v>1140.48</v>
      </c>
      <c r="J64" s="38">
        <v>647.26700000000005</v>
      </c>
      <c r="K64" s="31">
        <v>0</v>
      </c>
      <c r="L64" s="38">
        <v>597.11</v>
      </c>
      <c r="M64" s="31">
        <v>0</v>
      </c>
      <c r="N64" s="38">
        <v>581.85500000000002</v>
      </c>
      <c r="O64" s="31">
        <v>1.2</v>
      </c>
      <c r="P64" s="31">
        <v>0.65</v>
      </c>
      <c r="Q64" s="40" t="s">
        <v>50</v>
      </c>
      <c r="R64" s="19" t="s">
        <v>50</v>
      </c>
      <c r="S64" s="31">
        <v>2.6</v>
      </c>
      <c r="T64" s="31">
        <v>0.22</v>
      </c>
      <c r="U64" s="40" t="s">
        <v>50</v>
      </c>
      <c r="V64" s="19" t="s">
        <v>50</v>
      </c>
    </row>
    <row r="65" spans="1:22" x14ac:dyDescent="0.4">
      <c r="A65" s="225"/>
      <c r="B65" s="238"/>
      <c r="C65" s="244"/>
      <c r="D65" s="244"/>
      <c r="E65" s="31" t="s">
        <v>101</v>
      </c>
      <c r="F65" s="31">
        <v>30</v>
      </c>
      <c r="G65" s="31">
        <v>0</v>
      </c>
      <c r="H65" s="38">
        <v>515.779</v>
      </c>
      <c r="I65" s="38">
        <v>10.5</v>
      </c>
      <c r="J65" s="38">
        <v>647.26700000000005</v>
      </c>
      <c r="K65" s="31">
        <v>5.25</v>
      </c>
      <c r="L65" s="38">
        <v>597.11</v>
      </c>
      <c r="M65" s="31">
        <v>5.25</v>
      </c>
      <c r="N65" s="38">
        <v>581.85500000000002</v>
      </c>
      <c r="O65" s="37">
        <v>1.2</v>
      </c>
      <c r="P65" s="37">
        <v>0.65</v>
      </c>
      <c r="Q65" s="146">
        <f>(O65*P65)*(G48*H48+I48*J48+K48*L48+M48*N48+G49*H49+I49*J49+K49*L49+M49*N49+G64*H64+I64*J64+K64*L64+M64*N64+G65*H65+I65*J65+K65*L65+M65*N65)</f>
        <v>1133977.75933572</v>
      </c>
      <c r="R65" s="80">
        <f t="shared" si="0"/>
        <v>975220.87302871922</v>
      </c>
      <c r="S65" s="31">
        <v>2.6</v>
      </c>
      <c r="T65" s="37">
        <v>0.22</v>
      </c>
      <c r="U65" s="22">
        <f>(S65*T65)*(G48*H48+I48*J48+K48*L48+M48*N48+G49*H49+I49*J49+K49*L49+M49*N49+G64*H64+I64*J64+K64*L64+M64*N64+G65*H65+I65*J65+K65*L65+M65*N65)</f>
        <v>831583.69017952797</v>
      </c>
      <c r="V65" s="19">
        <f t="shared" si="1"/>
        <v>715161.97355439409</v>
      </c>
    </row>
    <row r="66" spans="1:22" x14ac:dyDescent="0.4">
      <c r="A66" s="225"/>
      <c r="B66" s="238"/>
      <c r="C66" s="244"/>
      <c r="D66" s="245" t="s">
        <v>88</v>
      </c>
      <c r="E66" s="41" t="s">
        <v>97</v>
      </c>
      <c r="F66" s="41">
        <v>30</v>
      </c>
      <c r="G66" s="41">
        <v>0</v>
      </c>
      <c r="H66" s="42">
        <v>515.779</v>
      </c>
      <c r="I66" s="41">
        <v>1140.48</v>
      </c>
      <c r="J66" s="42">
        <v>647.26700000000005</v>
      </c>
      <c r="K66" s="41">
        <v>0</v>
      </c>
      <c r="L66" s="42">
        <v>597.11</v>
      </c>
      <c r="M66" s="41">
        <v>0</v>
      </c>
      <c r="N66" s="42">
        <v>581.85500000000002</v>
      </c>
      <c r="O66" s="41">
        <v>1.2</v>
      </c>
      <c r="P66" s="41">
        <v>0.65</v>
      </c>
      <c r="Q66" s="43" t="s">
        <v>50</v>
      </c>
      <c r="R66" s="82" t="s">
        <v>50</v>
      </c>
      <c r="S66" s="41">
        <v>2.6</v>
      </c>
      <c r="T66" s="41">
        <v>0.22</v>
      </c>
      <c r="U66" s="43" t="s">
        <v>50</v>
      </c>
      <c r="V66" s="82" t="s">
        <v>50</v>
      </c>
    </row>
    <row r="67" spans="1:22" x14ac:dyDescent="0.4">
      <c r="A67" s="225"/>
      <c r="B67" s="238"/>
      <c r="C67" s="244"/>
      <c r="D67" s="245"/>
      <c r="E67" s="41" t="s">
        <v>102</v>
      </c>
      <c r="F67" s="41">
        <v>0</v>
      </c>
      <c r="G67" s="41">
        <v>0</v>
      </c>
      <c r="H67" s="42">
        <v>641.43100000000004</v>
      </c>
      <c r="I67" s="42">
        <v>10.5</v>
      </c>
      <c r="J67" s="42">
        <v>641.43100000000004</v>
      </c>
      <c r="K67" s="41">
        <v>5.25</v>
      </c>
      <c r="L67" s="42">
        <v>641.43100000000004</v>
      </c>
      <c r="M67" s="41">
        <v>5.25</v>
      </c>
      <c r="N67" s="42">
        <v>641.43100000000004</v>
      </c>
      <c r="O67" s="44">
        <v>1.2</v>
      </c>
      <c r="P67" s="44">
        <v>0.65</v>
      </c>
      <c r="Q67" s="147">
        <f>(O67*P67)*(G48*H48+I48*J48+K48*L48+M48*N48+G49*H49+I49*J49+K49*L49+M49*N49+G66*H66+I66*J66+K66*L66+M66*N66+G67*H67+I67*J67+K67*L67+M67*N67)</f>
        <v>1134355.4207107201</v>
      </c>
      <c r="R67" s="80">
        <f t="shared" si="0"/>
        <v>975545.6618112193</v>
      </c>
      <c r="S67" s="41">
        <v>2.6</v>
      </c>
      <c r="T67" s="44">
        <v>0.22</v>
      </c>
      <c r="U67" s="45">
        <f>(S67*T67)*(G48*H48+I48*J48+K48*L48+M48*N48+G49*H49+I49*J49+K49*L49+M49*N49+G66*H66+I66*J66+K66*L66+M66*N66+G67*H67+I67*J67+K67*L67+M67*N67)</f>
        <v>831860.6418545281</v>
      </c>
      <c r="V67" s="82">
        <f t="shared" si="1"/>
        <v>715400.15199489414</v>
      </c>
    </row>
    <row r="68" spans="1:22" x14ac:dyDescent="0.4">
      <c r="A68" s="225"/>
      <c r="B68" s="238"/>
      <c r="C68" s="244"/>
      <c r="D68" s="244" t="s">
        <v>89</v>
      </c>
      <c r="E68" s="31" t="s">
        <v>98</v>
      </c>
      <c r="F68" s="31">
        <v>30</v>
      </c>
      <c r="G68" s="31">
        <v>0</v>
      </c>
      <c r="H68" s="38">
        <v>515.779</v>
      </c>
      <c r="I68" s="31">
        <v>1425.6</v>
      </c>
      <c r="J68" s="38">
        <v>647.26700000000005</v>
      </c>
      <c r="K68" s="31">
        <v>0</v>
      </c>
      <c r="L68" s="38">
        <v>597.11</v>
      </c>
      <c r="M68" s="31">
        <v>0</v>
      </c>
      <c r="N68" s="38">
        <v>581.85500000000002</v>
      </c>
      <c r="O68" s="31">
        <v>1.2</v>
      </c>
      <c r="P68" s="31">
        <v>0.65</v>
      </c>
      <c r="Q68" s="40" t="s">
        <v>50</v>
      </c>
      <c r="R68" s="19" t="s">
        <v>50</v>
      </c>
      <c r="S68" s="31">
        <v>2.6</v>
      </c>
      <c r="T68" s="31">
        <v>0.22</v>
      </c>
      <c r="U68" s="40" t="s">
        <v>50</v>
      </c>
      <c r="V68" s="19" t="s">
        <v>50</v>
      </c>
    </row>
    <row r="69" spans="1:22" x14ac:dyDescent="0.4">
      <c r="A69" s="225"/>
      <c r="B69" s="238"/>
      <c r="C69" s="244"/>
      <c r="D69" s="244"/>
      <c r="E69" s="31" t="s">
        <v>100</v>
      </c>
      <c r="F69" s="31">
        <v>60</v>
      </c>
      <c r="G69" s="31">
        <v>0</v>
      </c>
      <c r="H69" s="38">
        <v>285.51049999999998</v>
      </c>
      <c r="I69" s="38">
        <v>10.5</v>
      </c>
      <c r="J69" s="38">
        <v>516.15200000000004</v>
      </c>
      <c r="K69" s="31">
        <v>5.25</v>
      </c>
      <c r="L69" s="38">
        <v>481.69099999999997</v>
      </c>
      <c r="M69" s="31">
        <v>5.25</v>
      </c>
      <c r="N69" s="38">
        <v>460.91500000000002</v>
      </c>
      <c r="O69" s="37">
        <v>1.2</v>
      </c>
      <c r="P69" s="37">
        <v>0.65</v>
      </c>
      <c r="Q69" s="146">
        <f>(O69*P69)*(G48*H48+I48*J48+K48*L48+M48*N48+G49*H49+I49*J49+K49*L49+M49*N49+G68*H68+I68*J68+K68*L68+M68*N68+G69*H69+I69*J69+K69*L69+M69*N69)</f>
        <v>1275884.0756719199</v>
      </c>
      <c r="R69" s="80">
        <f t="shared" si="0"/>
        <v>1097260.3050778511</v>
      </c>
      <c r="S69" s="31">
        <v>2.6</v>
      </c>
      <c r="T69" s="37">
        <v>0.22</v>
      </c>
      <c r="U69" s="146">
        <f>(S69*T69)*(G48*H48+I48*J48+K48*L48+M48*N48+G49*H49+I49*J49+K49*L49+M49*N49+G68*H68+I68*J68+K68*L68+M68*N68+G69*H69+I69*J69+K69*L69+M69*N69)</f>
        <v>935648.32215940789</v>
      </c>
      <c r="V69" s="19">
        <f t="shared" si="1"/>
        <v>804657.5570570908</v>
      </c>
    </row>
    <row r="70" spans="1:22" x14ac:dyDescent="0.4">
      <c r="A70" s="225"/>
      <c r="B70" s="238"/>
      <c r="C70" s="244"/>
      <c r="D70" s="245" t="s">
        <v>90</v>
      </c>
      <c r="E70" s="41" t="s">
        <v>98</v>
      </c>
      <c r="F70" s="41">
        <v>30</v>
      </c>
      <c r="G70" s="41">
        <v>0</v>
      </c>
      <c r="H70" s="42">
        <v>515.779</v>
      </c>
      <c r="I70" s="41">
        <v>1425.6</v>
      </c>
      <c r="J70" s="42">
        <v>647.26700000000005</v>
      </c>
      <c r="K70" s="41">
        <v>0</v>
      </c>
      <c r="L70" s="42">
        <v>597.11</v>
      </c>
      <c r="M70" s="41">
        <v>0</v>
      </c>
      <c r="N70" s="42">
        <v>581.85500000000002</v>
      </c>
      <c r="O70" s="41">
        <v>1.2</v>
      </c>
      <c r="P70" s="41">
        <v>0.65</v>
      </c>
      <c r="Q70" s="43" t="s">
        <v>50</v>
      </c>
      <c r="R70" s="82" t="s">
        <v>50</v>
      </c>
      <c r="S70" s="41">
        <v>2.6</v>
      </c>
      <c r="T70" s="41">
        <v>0.22</v>
      </c>
      <c r="U70" s="43" t="s">
        <v>50</v>
      </c>
      <c r="V70" s="82" t="s">
        <v>50</v>
      </c>
    </row>
    <row r="71" spans="1:22" x14ac:dyDescent="0.4">
      <c r="A71" s="225"/>
      <c r="B71" s="238"/>
      <c r="C71" s="244"/>
      <c r="D71" s="245"/>
      <c r="E71" s="41" t="s">
        <v>101</v>
      </c>
      <c r="F71" s="41">
        <v>30</v>
      </c>
      <c r="G71" s="41">
        <v>0</v>
      </c>
      <c r="H71" s="42">
        <v>515.779</v>
      </c>
      <c r="I71" s="42">
        <v>10.5</v>
      </c>
      <c r="J71" s="42">
        <v>647.26700000000005</v>
      </c>
      <c r="K71" s="41">
        <v>5.25</v>
      </c>
      <c r="L71" s="42">
        <v>597.11</v>
      </c>
      <c r="M71" s="41">
        <v>5.25</v>
      </c>
      <c r="N71" s="42">
        <v>581.85500000000002</v>
      </c>
      <c r="O71" s="44">
        <v>1.2</v>
      </c>
      <c r="P71" s="44">
        <v>0.65</v>
      </c>
      <c r="Q71" s="147">
        <f>(O71*P71)*(G48*H48+I48*J48+K48*L48+M48*N48+G49*H49+I49*J49+K49*L49+M49*N49+G70*H70+I70*J70+K70*L70+M70*N70+G71*H71+I71*J71+K71*L71+M71*N71)</f>
        <v>1277925.7976269198</v>
      </c>
      <c r="R71" s="80">
        <f t="shared" ref="R71:R79" si="2">Q71*(1-0.14)</f>
        <v>1099016.185959151</v>
      </c>
      <c r="S71" s="41">
        <v>2.6</v>
      </c>
      <c r="T71" s="44">
        <v>0.22</v>
      </c>
      <c r="U71" s="147">
        <f>(S71*T71)*(G48*H48+I48*J48+K48*L48+M48*N48+G49*H49+I49*J49+K49*L49+M49*N49+G70*H70+I70*J70+K70*L70+M70*N70+G71*H71+I71*J71+K71*L71+M71*N71)</f>
        <v>937145.5849264079</v>
      </c>
      <c r="V71" s="82">
        <f t="shared" ref="V71:V79" si="3">U71*(1-0.14)</f>
        <v>805945.20303671074</v>
      </c>
    </row>
    <row r="72" spans="1:22" x14ac:dyDescent="0.4">
      <c r="A72" s="225"/>
      <c r="B72" s="238"/>
      <c r="C72" s="244"/>
      <c r="D72" s="244" t="s">
        <v>91</v>
      </c>
      <c r="E72" s="31" t="s">
        <v>98</v>
      </c>
      <c r="F72" s="31">
        <v>30</v>
      </c>
      <c r="G72" s="31">
        <v>0</v>
      </c>
      <c r="H72" s="38">
        <v>515.779</v>
      </c>
      <c r="I72" s="31">
        <v>1425.6</v>
      </c>
      <c r="J72" s="38">
        <v>647.26700000000005</v>
      </c>
      <c r="K72" s="31">
        <v>0</v>
      </c>
      <c r="L72" s="38">
        <v>597.11</v>
      </c>
      <c r="M72" s="31">
        <v>0</v>
      </c>
      <c r="N72" s="38">
        <v>581.85500000000002</v>
      </c>
      <c r="O72" s="31">
        <v>1.2</v>
      </c>
      <c r="P72" s="31">
        <v>0.65</v>
      </c>
      <c r="Q72" s="40" t="s">
        <v>50</v>
      </c>
      <c r="R72" s="19" t="s">
        <v>50</v>
      </c>
      <c r="S72" s="31">
        <v>2.6</v>
      </c>
      <c r="T72" s="31">
        <v>0.22</v>
      </c>
      <c r="U72" s="40" t="s">
        <v>50</v>
      </c>
      <c r="V72" s="19" t="s">
        <v>50</v>
      </c>
    </row>
    <row r="73" spans="1:22" x14ac:dyDescent="0.4">
      <c r="A73" s="225"/>
      <c r="B73" s="238"/>
      <c r="C73" s="244"/>
      <c r="D73" s="244"/>
      <c r="E73" s="31" t="s">
        <v>102</v>
      </c>
      <c r="F73" s="31">
        <v>0</v>
      </c>
      <c r="G73" s="31">
        <v>0</v>
      </c>
      <c r="H73" s="38">
        <v>641.43100000000004</v>
      </c>
      <c r="I73" s="38">
        <v>10.5</v>
      </c>
      <c r="J73" s="38">
        <v>641.43100000000004</v>
      </c>
      <c r="K73" s="31">
        <v>5.25</v>
      </c>
      <c r="L73" s="38">
        <v>641.43100000000004</v>
      </c>
      <c r="M73" s="31">
        <v>5.25</v>
      </c>
      <c r="N73" s="38">
        <v>641.43100000000004</v>
      </c>
      <c r="O73" s="37">
        <v>1.2</v>
      </c>
      <c r="P73" s="37">
        <v>0.65</v>
      </c>
      <c r="Q73" s="146">
        <f>(O73*P73)*(G48*H48+I48*J48+K48*L48+M48*N48+G49*H49+I49*J49+K49*L49+M49*N49+G72*H72+I72*J72+K72*L72+M72*N72+G73*H73+I73*J73+K73*L73+M73*N73)</f>
        <v>1278303.45900192</v>
      </c>
      <c r="R73" s="80">
        <f t="shared" si="2"/>
        <v>1099340.9747416512</v>
      </c>
      <c r="S73" s="31">
        <v>2.6</v>
      </c>
      <c r="T73" s="37">
        <v>0.22</v>
      </c>
      <c r="U73" s="146">
        <f>(S73*T73)*(G48*H48+I48*J48+K48*L48+M48*N48+G49*H49+I49*J49+K49*L49+M49*N49+G72*H72+I72*J72+K72*L72+M72*N72+G73*H73+I73*J73+K73*L73+M73*N73)</f>
        <v>937422.53660140804</v>
      </c>
      <c r="V73" s="19">
        <f t="shared" si="3"/>
        <v>806183.3814772109</v>
      </c>
    </row>
    <row r="74" spans="1:22" x14ac:dyDescent="0.4">
      <c r="A74" s="225"/>
      <c r="B74" s="238"/>
      <c r="C74" s="244"/>
      <c r="D74" s="245" t="s">
        <v>92</v>
      </c>
      <c r="E74" s="41" t="s">
        <v>99</v>
      </c>
      <c r="F74" s="41">
        <v>30</v>
      </c>
      <c r="G74" s="41">
        <v>0</v>
      </c>
      <c r="H74" s="42">
        <v>515.779</v>
      </c>
      <c r="I74" s="41">
        <v>1710.72</v>
      </c>
      <c r="J74" s="42">
        <v>647.26700000000005</v>
      </c>
      <c r="K74" s="41">
        <v>0</v>
      </c>
      <c r="L74" s="42">
        <v>597.11</v>
      </c>
      <c r="M74" s="41">
        <v>0</v>
      </c>
      <c r="N74" s="42">
        <v>581.85500000000002</v>
      </c>
      <c r="O74" s="41">
        <v>1.2</v>
      </c>
      <c r="P74" s="41">
        <v>0.65</v>
      </c>
      <c r="Q74" s="43" t="s">
        <v>50</v>
      </c>
      <c r="R74" s="82" t="s">
        <v>50</v>
      </c>
      <c r="S74" s="41">
        <v>2.6</v>
      </c>
      <c r="T74" s="41">
        <v>0.22</v>
      </c>
      <c r="U74" s="43" t="s">
        <v>50</v>
      </c>
      <c r="V74" s="82" t="s">
        <v>50</v>
      </c>
    </row>
    <row r="75" spans="1:22" x14ac:dyDescent="0.4">
      <c r="A75" s="225"/>
      <c r="B75" s="238"/>
      <c r="C75" s="244"/>
      <c r="D75" s="245"/>
      <c r="E75" s="41" t="s">
        <v>100</v>
      </c>
      <c r="F75" s="41">
        <v>60</v>
      </c>
      <c r="G75" s="41">
        <v>0</v>
      </c>
      <c r="H75" s="42">
        <v>285.51049999999998</v>
      </c>
      <c r="I75" s="42">
        <v>10.5</v>
      </c>
      <c r="J75" s="42">
        <v>516.15200000000004</v>
      </c>
      <c r="K75" s="41">
        <v>5.25</v>
      </c>
      <c r="L75" s="42">
        <v>481.69099999999997</v>
      </c>
      <c r="M75" s="41">
        <v>5.25</v>
      </c>
      <c r="N75" s="42">
        <v>460.91500000000002</v>
      </c>
      <c r="O75" s="44">
        <v>1.2</v>
      </c>
      <c r="P75" s="44">
        <v>0.65</v>
      </c>
      <c r="Q75" s="147">
        <f>(O75*P75)*(G48*H48+I48*J48+K48*L48+M48*N48+G49*H49+I49*J49+K49*L49+M49*N49+G74*H74+I74*J74+K74*L74+M74*N74+G75*H75+I75*J75+K75*L75+M75*N75)</f>
        <v>1419832.1139631199</v>
      </c>
      <c r="R75" s="80">
        <f t="shared" si="2"/>
        <v>1221055.6180082832</v>
      </c>
      <c r="S75" s="41">
        <v>2.6</v>
      </c>
      <c r="T75" s="44">
        <v>0.22</v>
      </c>
      <c r="U75" s="147">
        <f>(S75*T75)*(G48*H48+I48*J48+K48*L48+M48*N48+G49*H49+I49*J49+K49*L49+M49*N49+G74*H74+I74*J74+K74*L74+M74*N74+G75*H75+I75*J75+K75*L75+M75*N75)</f>
        <v>1041210.2169062881</v>
      </c>
      <c r="V75" s="80">
        <f t="shared" si="3"/>
        <v>895440.78653940768</v>
      </c>
    </row>
    <row r="76" spans="1:22" x14ac:dyDescent="0.4">
      <c r="A76" s="225"/>
      <c r="B76" s="238"/>
      <c r="C76" s="244"/>
      <c r="D76" s="244" t="s">
        <v>93</v>
      </c>
      <c r="E76" s="31" t="s">
        <v>99</v>
      </c>
      <c r="F76" s="31">
        <v>30</v>
      </c>
      <c r="G76" s="31">
        <v>0</v>
      </c>
      <c r="H76" s="38">
        <v>515.779</v>
      </c>
      <c r="I76" s="31">
        <v>1710.72</v>
      </c>
      <c r="J76" s="38">
        <v>647.26700000000005</v>
      </c>
      <c r="K76" s="31">
        <v>0</v>
      </c>
      <c r="L76" s="38">
        <v>597.11</v>
      </c>
      <c r="M76" s="31">
        <v>0</v>
      </c>
      <c r="N76" s="38">
        <v>581.85500000000002</v>
      </c>
      <c r="O76" s="31">
        <v>1.2</v>
      </c>
      <c r="P76" s="31">
        <v>0.65</v>
      </c>
      <c r="Q76" s="40" t="s">
        <v>50</v>
      </c>
      <c r="R76" s="19" t="s">
        <v>50</v>
      </c>
      <c r="S76" s="31">
        <v>2.6</v>
      </c>
      <c r="T76" s="31">
        <v>0.22</v>
      </c>
      <c r="U76" s="40" t="s">
        <v>50</v>
      </c>
      <c r="V76" s="19" t="s">
        <v>50</v>
      </c>
    </row>
    <row r="77" spans="1:22" x14ac:dyDescent="0.4">
      <c r="A77" s="225"/>
      <c r="B77" s="238"/>
      <c r="C77" s="244"/>
      <c r="D77" s="244"/>
      <c r="E77" s="31" t="s">
        <v>101</v>
      </c>
      <c r="F77" s="31">
        <v>30</v>
      </c>
      <c r="G77" s="31">
        <v>0</v>
      </c>
      <c r="H77" s="38">
        <v>515.779</v>
      </c>
      <c r="I77" s="38">
        <v>10.5</v>
      </c>
      <c r="J77" s="38">
        <v>647.26700000000005</v>
      </c>
      <c r="K77" s="31">
        <v>5.25</v>
      </c>
      <c r="L77" s="38">
        <v>597.11</v>
      </c>
      <c r="M77" s="31">
        <v>5.25</v>
      </c>
      <c r="N77" s="38">
        <v>581.85500000000002</v>
      </c>
      <c r="O77" s="37">
        <v>1.2</v>
      </c>
      <c r="P77" s="37">
        <v>0.65</v>
      </c>
      <c r="Q77" s="146">
        <f>(O77*P77)*(G48*H48+I48*J48+K48*L48+M48*N48+G49*H49+I49*J49+K49*L49+M49*N49+G76*H76+I76*J76+K76*L76+M76*N76+G77*H77+I77*J77+K77*L77+M77*N77)</f>
        <v>1421873.8359181201</v>
      </c>
      <c r="R77" s="80">
        <f t="shared" si="2"/>
        <v>1222811.4988895832</v>
      </c>
      <c r="S77" s="31">
        <v>2.6</v>
      </c>
      <c r="T77" s="37">
        <v>0.22</v>
      </c>
      <c r="U77" s="146">
        <f>(S77*T77)*(G48*H48+I48*J48+K48*L48+M48*N48+G49*H49+I49*J49+K49*L49+M49*N49+G76*H76+I76*J76+K76*L76+M76*N76+G77*H77+I77*J77+K77*L77+M77*N77)</f>
        <v>1042707.4796732881</v>
      </c>
      <c r="V77" s="80">
        <f t="shared" si="3"/>
        <v>896728.43251902773</v>
      </c>
    </row>
    <row r="78" spans="1:22" x14ac:dyDescent="0.4">
      <c r="A78" s="225"/>
      <c r="B78" s="238"/>
      <c r="C78" s="244"/>
      <c r="D78" s="245" t="s">
        <v>94</v>
      </c>
      <c r="E78" s="41" t="s">
        <v>99</v>
      </c>
      <c r="F78" s="41">
        <v>30</v>
      </c>
      <c r="G78" s="41">
        <v>0</v>
      </c>
      <c r="H78" s="42">
        <v>515.779</v>
      </c>
      <c r="I78" s="41">
        <v>1710.72</v>
      </c>
      <c r="J78" s="42">
        <v>647.26700000000005</v>
      </c>
      <c r="K78" s="41">
        <v>0</v>
      </c>
      <c r="L78" s="42">
        <v>597.11</v>
      </c>
      <c r="M78" s="41">
        <v>0</v>
      </c>
      <c r="N78" s="42">
        <v>581.85500000000002</v>
      </c>
      <c r="O78" s="41">
        <v>1.2</v>
      </c>
      <c r="P78" s="41">
        <v>0.65</v>
      </c>
      <c r="Q78" s="43" t="s">
        <v>50</v>
      </c>
      <c r="R78" s="82" t="s">
        <v>50</v>
      </c>
      <c r="S78" s="41">
        <v>2.6</v>
      </c>
      <c r="T78" s="41">
        <v>0.22</v>
      </c>
      <c r="U78" s="43" t="s">
        <v>50</v>
      </c>
      <c r="V78" s="82" t="s">
        <v>50</v>
      </c>
    </row>
    <row r="79" spans="1:22" x14ac:dyDescent="0.4">
      <c r="A79" s="226"/>
      <c r="B79" s="239"/>
      <c r="C79" s="244"/>
      <c r="D79" s="245"/>
      <c r="E79" s="41" t="s">
        <v>103</v>
      </c>
      <c r="F79" s="41">
        <v>0</v>
      </c>
      <c r="G79" s="41">
        <v>0</v>
      </c>
      <c r="H79" s="42">
        <v>641.43100000000004</v>
      </c>
      <c r="I79" s="42">
        <v>10.5</v>
      </c>
      <c r="J79" s="42">
        <v>641.43100000000004</v>
      </c>
      <c r="K79" s="41">
        <v>5.25</v>
      </c>
      <c r="L79" s="42">
        <v>641.43100000000004</v>
      </c>
      <c r="M79" s="41">
        <v>5.25</v>
      </c>
      <c r="N79" s="42">
        <v>641.43100000000004</v>
      </c>
      <c r="O79" s="44">
        <v>1.2</v>
      </c>
      <c r="P79" s="44">
        <v>0.65</v>
      </c>
      <c r="Q79" s="147">
        <f>(O79*P79)*(G48*H48+I48*J48+K48*L48+M48*N48+G49*H49+I49*J49+K49*L49+M49*N49+G78*H78+I78*J78+K78*L78+M78*N78+G79*H79+I79*J79+K79*L79+M79*N79)</f>
        <v>1422251.49729312</v>
      </c>
      <c r="R79" s="80">
        <f t="shared" si="2"/>
        <v>1223136.2876720831</v>
      </c>
      <c r="S79" s="41">
        <v>2.6</v>
      </c>
      <c r="T79" s="44">
        <v>0.22</v>
      </c>
      <c r="U79" s="147">
        <f>(S79*T79)*(G48*H48+I48*J48+K48*L48+M48*N48+G49*H49+I49*J49+K49*L49+M49*N49+G78*H78+I78*J78+K78*L78+M78*N78+G79*H79+I79*J79+K79*L79+M79*N79)</f>
        <v>1042984.4313482882</v>
      </c>
      <c r="V79" s="80">
        <f t="shared" si="3"/>
        <v>896966.61095952778</v>
      </c>
    </row>
    <row r="80" spans="1:22" x14ac:dyDescent="0.4">
      <c r="B80" s="5"/>
      <c r="C80" s="5"/>
      <c r="D80" s="5"/>
      <c r="E80" s="5"/>
      <c r="F80" s="5"/>
      <c r="G80" s="5"/>
      <c r="H80" s="5"/>
      <c r="I80" s="5"/>
      <c r="J80" s="5"/>
      <c r="K80" s="5"/>
      <c r="L80" s="5"/>
      <c r="M80" s="5"/>
      <c r="N80" s="5"/>
    </row>
  </sheetData>
  <mergeCells count="70">
    <mergeCell ref="C17:E17"/>
    <mergeCell ref="C18:C47"/>
    <mergeCell ref="D18:D19"/>
    <mergeCell ref="D20:D21"/>
    <mergeCell ref="D22:D23"/>
    <mergeCell ref="D24:D25"/>
    <mergeCell ref="D26:D27"/>
    <mergeCell ref="D28:D29"/>
    <mergeCell ref="D30:D31"/>
    <mergeCell ref="D32:D33"/>
    <mergeCell ref="D46:D47"/>
    <mergeCell ref="D34:D35"/>
    <mergeCell ref="D36:D37"/>
    <mergeCell ref="D38:D39"/>
    <mergeCell ref="D40:D41"/>
    <mergeCell ref="D42:D43"/>
    <mergeCell ref="D44:D45"/>
    <mergeCell ref="D52:D53"/>
    <mergeCell ref="D54:D55"/>
    <mergeCell ref="D56:D57"/>
    <mergeCell ref="D76:D77"/>
    <mergeCell ref="D78:D79"/>
    <mergeCell ref="D58:D59"/>
    <mergeCell ref="D60:D61"/>
    <mergeCell ref="D62:D63"/>
    <mergeCell ref="D64:D65"/>
    <mergeCell ref="D66:D67"/>
    <mergeCell ref="D68:D69"/>
    <mergeCell ref="D70:D71"/>
    <mergeCell ref="D72:D73"/>
    <mergeCell ref="D74:D75"/>
    <mergeCell ref="A11:A79"/>
    <mergeCell ref="B11:B16"/>
    <mergeCell ref="C11:E11"/>
    <mergeCell ref="C12:C16"/>
    <mergeCell ref="D12:E12"/>
    <mergeCell ref="D13:E13"/>
    <mergeCell ref="D14:E14"/>
    <mergeCell ref="D15:E15"/>
    <mergeCell ref="D16:E16"/>
    <mergeCell ref="B17:B47"/>
    <mergeCell ref="B48:B79"/>
    <mergeCell ref="C48:C49"/>
    <mergeCell ref="D48:E48"/>
    <mergeCell ref="D49:E49"/>
    <mergeCell ref="C50:C79"/>
    <mergeCell ref="D50:D51"/>
    <mergeCell ref="O4:R4"/>
    <mergeCell ref="N1:R1"/>
    <mergeCell ref="A6:A10"/>
    <mergeCell ref="B6:B10"/>
    <mergeCell ref="C6:C10"/>
    <mergeCell ref="D6:E6"/>
    <mergeCell ref="D7:E7"/>
    <mergeCell ref="D8:E8"/>
    <mergeCell ref="D9:E9"/>
    <mergeCell ref="D10:E10"/>
    <mergeCell ref="O3:R3"/>
    <mergeCell ref="F2:V2"/>
    <mergeCell ref="S3:V3"/>
    <mergeCell ref="S4:V4"/>
    <mergeCell ref="K4:L4"/>
    <mergeCell ref="M4:N4"/>
    <mergeCell ref="A2:A5"/>
    <mergeCell ref="B2:B5"/>
    <mergeCell ref="C2:E5"/>
    <mergeCell ref="F3:F5"/>
    <mergeCell ref="G3:N3"/>
    <mergeCell ref="G4:H4"/>
    <mergeCell ref="I4:J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4EDD4-3641-489C-9D6E-D65EF7AA8108}">
  <dimension ref="A1:AD87"/>
  <sheetViews>
    <sheetView topLeftCell="Z22" zoomScale="60" zoomScaleNormal="60" workbookViewId="0">
      <selection activeCell="AD88" sqref="AD88"/>
    </sheetView>
  </sheetViews>
  <sheetFormatPr defaultRowHeight="14.6" x14ac:dyDescent="0.4"/>
  <cols>
    <col min="1" max="1" width="37.765625" customWidth="1"/>
    <col min="2" max="2" width="248.07421875" customWidth="1"/>
    <col min="3" max="3" width="104.07421875" customWidth="1"/>
    <col min="4" max="4" width="68.4609375" customWidth="1"/>
    <col min="5" max="5" width="75.765625" customWidth="1"/>
    <col min="6" max="6" width="25.921875" customWidth="1"/>
    <col min="7" max="7" width="28.84375" customWidth="1"/>
    <col min="8" max="8" width="26.4609375" customWidth="1"/>
    <col min="9" max="9" width="29.84375" customWidth="1"/>
    <col min="10" max="10" width="33.07421875" customWidth="1"/>
    <col min="11" max="11" width="92" bestFit="1" customWidth="1"/>
    <col min="12" max="12" width="43.3828125" customWidth="1"/>
    <col min="13" max="13" width="45.15234375" customWidth="1"/>
    <col min="14" max="14" width="47.15234375" customWidth="1"/>
    <col min="15" max="15" width="33" customWidth="1"/>
    <col min="16" max="16" width="52.3046875" customWidth="1"/>
    <col min="17" max="17" width="54" customWidth="1"/>
    <col min="18" max="18" width="67.921875" customWidth="1"/>
    <col min="19" max="19" width="65.23046875" customWidth="1"/>
    <col min="20" max="20" width="96.3828125" customWidth="1"/>
    <col min="21" max="21" width="83.4609375" customWidth="1"/>
    <col min="22" max="22" width="41.53515625" bestFit="1" customWidth="1"/>
    <col min="23" max="23" width="47.61328125" bestFit="1" customWidth="1"/>
    <col min="24" max="24" width="62" customWidth="1"/>
    <col min="25" max="25" width="73.61328125" customWidth="1"/>
    <col min="26" max="26" width="79" customWidth="1"/>
    <col min="27" max="27" width="87.23046875" customWidth="1"/>
    <col min="28" max="28" width="105.3828125" customWidth="1"/>
    <col min="29" max="29" width="58.921875" bestFit="1" customWidth="1"/>
    <col min="30" max="30" width="114.15234375" customWidth="1"/>
    <col min="31" max="34" width="9.23046875" customWidth="1"/>
  </cols>
  <sheetData>
    <row r="1" spans="1:30" ht="53.6" customHeight="1" x14ac:dyDescent="0.4">
      <c r="K1" s="118" t="s">
        <v>172</v>
      </c>
      <c r="L1" s="86"/>
      <c r="M1" s="86"/>
      <c r="N1" s="86"/>
      <c r="O1" s="86"/>
      <c r="P1" s="86"/>
      <c r="Q1" s="86"/>
      <c r="R1" s="86"/>
      <c r="S1" s="86"/>
      <c r="T1" s="87"/>
    </row>
    <row r="2" spans="1:30" ht="61.3" customHeight="1" x14ac:dyDescent="0.4">
      <c r="A2" s="197" t="s">
        <v>66</v>
      </c>
      <c r="B2" s="198" t="s">
        <v>52</v>
      </c>
      <c r="C2" s="201" t="s">
        <v>78</v>
      </c>
      <c r="D2" s="202"/>
      <c r="E2" s="203"/>
      <c r="F2" s="197" t="s">
        <v>51</v>
      </c>
      <c r="G2" s="197"/>
      <c r="H2" s="197"/>
      <c r="I2" s="197"/>
      <c r="J2" s="197"/>
      <c r="K2" s="197"/>
      <c r="L2" s="197"/>
      <c r="M2" s="197"/>
      <c r="N2" s="197"/>
      <c r="O2" s="197"/>
      <c r="P2" s="197"/>
      <c r="Q2" s="197"/>
      <c r="R2" s="197"/>
      <c r="S2" s="197"/>
      <c r="T2" s="197"/>
      <c r="U2" s="197"/>
      <c r="V2" s="197"/>
      <c r="W2" s="197"/>
      <c r="X2" s="197"/>
      <c r="Y2" s="197"/>
      <c r="Z2" s="197"/>
      <c r="AA2" s="197"/>
      <c r="AB2" s="197"/>
      <c r="AC2" s="197"/>
      <c r="AD2" s="197"/>
    </row>
    <row r="3" spans="1:30" ht="38.6" customHeight="1" x14ac:dyDescent="0.4">
      <c r="A3" s="197"/>
      <c r="B3" s="199"/>
      <c r="C3" s="204"/>
      <c r="D3" s="205"/>
      <c r="E3" s="206"/>
      <c r="F3" s="199" t="s">
        <v>53</v>
      </c>
      <c r="G3" s="200" t="s">
        <v>54</v>
      </c>
      <c r="H3" s="200"/>
      <c r="I3" s="200"/>
      <c r="J3" s="200"/>
      <c r="K3" s="253" t="s">
        <v>48</v>
      </c>
      <c r="L3" s="254"/>
      <c r="M3" s="254"/>
      <c r="N3" s="254"/>
      <c r="O3" s="254"/>
      <c r="P3" s="254"/>
      <c r="Q3" s="254"/>
      <c r="R3" s="254"/>
      <c r="S3" s="254"/>
      <c r="T3" s="255"/>
      <c r="U3" s="256" t="s">
        <v>49</v>
      </c>
      <c r="V3" s="256"/>
      <c r="W3" s="256"/>
      <c r="X3" s="256"/>
      <c r="Y3" s="256"/>
      <c r="Z3" s="256"/>
      <c r="AA3" s="256"/>
      <c r="AB3" s="256"/>
      <c r="AC3" s="256"/>
      <c r="AD3" s="256"/>
    </row>
    <row r="4" spans="1:30" x14ac:dyDescent="0.4">
      <c r="A4" s="197"/>
      <c r="B4" s="199"/>
      <c r="C4" s="204"/>
      <c r="D4" s="205"/>
      <c r="E4" s="206"/>
      <c r="F4" s="199"/>
      <c r="G4" s="68" t="s">
        <v>5</v>
      </c>
      <c r="H4" s="68" t="s">
        <v>6</v>
      </c>
      <c r="I4" s="68" t="s">
        <v>7</v>
      </c>
      <c r="J4" s="68" t="s">
        <v>8</v>
      </c>
      <c r="K4" s="211" t="s">
        <v>61</v>
      </c>
      <c r="L4" s="211"/>
      <c r="M4" s="211"/>
      <c r="N4" s="211"/>
      <c r="O4" s="211"/>
      <c r="P4" s="211"/>
      <c r="Q4" s="211"/>
      <c r="R4" s="211"/>
      <c r="S4" s="211"/>
      <c r="T4" s="212"/>
      <c r="U4" s="251" t="s">
        <v>64</v>
      </c>
      <c r="V4" s="251"/>
      <c r="W4" s="251"/>
      <c r="X4" s="251"/>
      <c r="Y4" s="251"/>
      <c r="Z4" s="251"/>
      <c r="AA4" s="251"/>
      <c r="AB4" s="251"/>
      <c r="AC4" s="251"/>
      <c r="AD4" s="251"/>
    </row>
    <row r="5" spans="1:30" x14ac:dyDescent="0.4">
      <c r="A5" s="197"/>
      <c r="B5" s="200"/>
      <c r="C5" s="207"/>
      <c r="D5" s="208"/>
      <c r="E5" s="209"/>
      <c r="F5" s="200"/>
      <c r="G5" s="18" t="s">
        <v>57</v>
      </c>
      <c r="H5" s="18" t="s">
        <v>58</v>
      </c>
      <c r="I5" s="18" t="s">
        <v>59</v>
      </c>
      <c r="J5" s="18" t="s">
        <v>60</v>
      </c>
      <c r="K5" s="61" t="s">
        <v>113</v>
      </c>
      <c r="L5" s="61" t="s">
        <v>114</v>
      </c>
      <c r="M5" s="61" t="s">
        <v>115</v>
      </c>
      <c r="N5" s="61" t="s">
        <v>116</v>
      </c>
      <c r="O5" s="61" t="s">
        <v>119</v>
      </c>
      <c r="P5" s="61" t="s">
        <v>117</v>
      </c>
      <c r="Q5" s="61" t="s">
        <v>118</v>
      </c>
      <c r="R5" s="61" t="s">
        <v>122</v>
      </c>
      <c r="S5" s="61" t="s">
        <v>120</v>
      </c>
      <c r="T5" s="61" t="s">
        <v>121</v>
      </c>
      <c r="U5" s="91" t="s">
        <v>113</v>
      </c>
      <c r="V5" s="61" t="s">
        <v>137</v>
      </c>
      <c r="W5" s="61" t="s">
        <v>160</v>
      </c>
      <c r="X5" s="61" t="s">
        <v>161</v>
      </c>
      <c r="Y5" s="61" t="s">
        <v>162</v>
      </c>
      <c r="Z5" s="61" t="s">
        <v>163</v>
      </c>
      <c r="AA5" s="61" t="s">
        <v>164</v>
      </c>
      <c r="AB5" s="61" t="s">
        <v>165</v>
      </c>
      <c r="AC5" s="61" t="s">
        <v>138</v>
      </c>
      <c r="AD5" s="61" t="s">
        <v>166</v>
      </c>
    </row>
    <row r="6" spans="1:30" x14ac:dyDescent="0.4">
      <c r="A6" s="215" t="s">
        <v>67</v>
      </c>
      <c r="B6" s="218" t="s">
        <v>68</v>
      </c>
      <c r="C6" s="218" t="s">
        <v>69</v>
      </c>
      <c r="D6" s="221" t="s">
        <v>70</v>
      </c>
      <c r="E6" s="222"/>
      <c r="F6" s="20">
        <v>30</v>
      </c>
      <c r="G6" s="17">
        <v>0</v>
      </c>
      <c r="H6" s="17">
        <v>427.68</v>
      </c>
      <c r="I6" s="17">
        <v>0</v>
      </c>
      <c r="J6" s="17">
        <v>0</v>
      </c>
      <c r="K6" s="40">
        <f>(G6+H6+I6+J6)</f>
        <v>427.68</v>
      </c>
      <c r="L6" s="40">
        <f>760.59*(K6)^-0.135</f>
        <v>335.69861854157898</v>
      </c>
      <c r="M6" s="40">
        <f>5500*(K6)^-0.696</f>
        <v>81.115510595738144</v>
      </c>
      <c r="N6" s="83">
        <f>K6*(L6+M6)</f>
        <v>178263.06674944778</v>
      </c>
      <c r="O6" s="40">
        <f>0.015*K6*L6</f>
        <v>2153.5737776679375</v>
      </c>
      <c r="P6" s="40">
        <f>0.025*K6*M6</f>
        <v>867.28703928963228</v>
      </c>
      <c r="Q6" s="83">
        <f>O6+P6</f>
        <v>3020.86081695757</v>
      </c>
      <c r="R6" s="83">
        <f>N6*((0.06*(1+0.06)^20)/((1+0.06)^20-1))</f>
        <v>15541.786499885495</v>
      </c>
      <c r="S6" s="83">
        <f>Q6*((0.06*(1+0.06)^20)/((1+0.06)^20-1))</f>
        <v>263.37241201517514</v>
      </c>
      <c r="T6" s="19">
        <f>R6+S6</f>
        <v>15805.158911900669</v>
      </c>
      <c r="U6" s="40">
        <f>(G6+H6+I6+J6)</f>
        <v>427.68</v>
      </c>
      <c r="V6" s="40">
        <v>88</v>
      </c>
      <c r="W6" s="83">
        <f>U6*V6</f>
        <v>37635.840000000004</v>
      </c>
      <c r="X6" s="40">
        <v>9.64</v>
      </c>
      <c r="Y6" s="83">
        <f>U6*X6</f>
        <v>4122.8352000000004</v>
      </c>
      <c r="Z6" s="83">
        <f>W6+Y6</f>
        <v>41758.675200000005</v>
      </c>
      <c r="AA6" s="40">
        <f>0.01*Z6</f>
        <v>417.58675200000005</v>
      </c>
      <c r="AB6" s="83">
        <f>Z6*((0.06*(1+0.06)^20)/((1+0.06)^20-1))</f>
        <v>3640.711597252232</v>
      </c>
      <c r="AC6" s="83">
        <f>AA6*((0.06*(1+0.06)^20)/((1+0.06)^20-1))</f>
        <v>36.40711597252232</v>
      </c>
      <c r="AD6" s="19">
        <f>AB6+AC6</f>
        <v>3677.1187132247542</v>
      </c>
    </row>
    <row r="7" spans="1:30" x14ac:dyDescent="0.4">
      <c r="A7" s="216"/>
      <c r="B7" s="219"/>
      <c r="C7" s="219"/>
      <c r="D7" s="221" t="s">
        <v>71</v>
      </c>
      <c r="E7" s="222"/>
      <c r="F7" s="20">
        <v>30</v>
      </c>
      <c r="G7" s="17">
        <v>0</v>
      </c>
      <c r="H7" s="17">
        <v>712.8</v>
      </c>
      <c r="I7" s="17">
        <v>0</v>
      </c>
      <c r="J7" s="17">
        <v>0</v>
      </c>
      <c r="K7" s="40">
        <f>(G7+H7+I7+J7)</f>
        <v>712.8</v>
      </c>
      <c r="L7" s="40">
        <f t="shared" ref="L7:L69" si="0">760.59*(K7)^-0.135</f>
        <v>313.32855284800064</v>
      </c>
      <c r="M7" s="40">
        <f t="shared" ref="M7:M69" si="1">5500*(K7)^-0.696</f>
        <v>56.845642115338748</v>
      </c>
      <c r="N7" s="83">
        <f t="shared" ref="N7:N69" si="2">K7*(L7+M7)</f>
        <v>263860.16616986832</v>
      </c>
      <c r="O7" s="40">
        <f t="shared" ref="O7:O69" si="3">0.015*K7*L7</f>
        <v>3350.1088870508224</v>
      </c>
      <c r="P7" s="40">
        <f t="shared" ref="P7:P69" si="4">0.025*K7*M7</f>
        <v>1012.9893424953365</v>
      </c>
      <c r="Q7" s="83">
        <f t="shared" ref="Q7:Q69" si="5">O7+P7</f>
        <v>4363.098229546159</v>
      </c>
      <c r="R7" s="83">
        <f t="shared" ref="R7:R69" si="6">N7*((0.06*(1+0.06)^20)/((1+0.06)^20-1))</f>
        <v>23004.531691358363</v>
      </c>
      <c r="S7" s="83">
        <f t="shared" ref="S7:S69" si="7">Q7*((0.06*(1+0.06)^20)/((1+0.06)^20-1))</f>
        <v>380.39478618946657</v>
      </c>
      <c r="T7" s="19">
        <f t="shared" ref="T7:T69" si="8">R7+S7</f>
        <v>23384.92647754783</v>
      </c>
      <c r="U7" s="40">
        <f>(G7+H7+I7+J7)</f>
        <v>712.8</v>
      </c>
      <c r="V7" s="40">
        <v>88</v>
      </c>
      <c r="W7" s="83">
        <f t="shared" ref="W7:W69" si="9">U7*V7</f>
        <v>62726.399999999994</v>
      </c>
      <c r="X7" s="40">
        <v>9.64</v>
      </c>
      <c r="Y7" s="83">
        <f t="shared" ref="Y7:Y69" si="10">U7*X7</f>
        <v>6871.3919999999998</v>
      </c>
      <c r="Z7" s="83">
        <f t="shared" ref="Z7:Z69" si="11">W7+Y7</f>
        <v>69597.791999999987</v>
      </c>
      <c r="AA7" s="40">
        <f t="shared" ref="AA7:AA69" si="12">0.01*Z7</f>
        <v>695.97791999999993</v>
      </c>
      <c r="AB7" s="83">
        <f t="shared" ref="AB7:AB69" si="13">Z7*((0.06*(1+0.06)^20)/((1+0.06)^20-1))</f>
        <v>6067.8526620870516</v>
      </c>
      <c r="AC7" s="83">
        <f t="shared" ref="AC7:AC69" si="14">AA7*((0.06*(1+0.06)^20)/((1+0.06)^20-1))</f>
        <v>60.678526620870521</v>
      </c>
      <c r="AD7" s="19">
        <f t="shared" ref="AD7:AD69" si="15">AB7+AC7</f>
        <v>6128.5311887079224</v>
      </c>
    </row>
    <row r="8" spans="1:30" x14ac:dyDescent="0.4">
      <c r="A8" s="216"/>
      <c r="B8" s="219"/>
      <c r="C8" s="219"/>
      <c r="D8" s="221" t="s">
        <v>72</v>
      </c>
      <c r="E8" s="222"/>
      <c r="F8" s="20">
        <v>30</v>
      </c>
      <c r="G8" s="17">
        <v>0</v>
      </c>
      <c r="H8" s="17">
        <v>1140.48</v>
      </c>
      <c r="I8" s="17">
        <v>0</v>
      </c>
      <c r="J8" s="17">
        <v>0</v>
      </c>
      <c r="K8" s="40">
        <f>(G8+H8+I8+J8)</f>
        <v>1140.48</v>
      </c>
      <c r="L8" s="40">
        <f t="shared" si="0"/>
        <v>294.06529651344226</v>
      </c>
      <c r="M8" s="40">
        <f t="shared" si="1"/>
        <v>40.985446302666901</v>
      </c>
      <c r="N8" s="83">
        <f t="shared" si="2"/>
        <v>382118.6711669162</v>
      </c>
      <c r="O8" s="40">
        <f t="shared" si="3"/>
        <v>5030.633840514759</v>
      </c>
      <c r="P8" s="40">
        <f t="shared" si="4"/>
        <v>1168.5770449816387</v>
      </c>
      <c r="Q8" s="83">
        <f t="shared" si="5"/>
        <v>6199.2108854963972</v>
      </c>
      <c r="R8" s="83">
        <f t="shared" si="6"/>
        <v>33314.847058270752</v>
      </c>
      <c r="S8" s="83">
        <f t="shared" si="7"/>
        <v>540.47545465807809</v>
      </c>
      <c r="T8" s="19">
        <f t="shared" si="8"/>
        <v>33855.322512928833</v>
      </c>
      <c r="U8" s="40">
        <f>(G8+H8+I8+J8)</f>
        <v>1140.48</v>
      </c>
      <c r="V8" s="40">
        <v>88</v>
      </c>
      <c r="W8" s="83">
        <f t="shared" si="9"/>
        <v>100362.24000000001</v>
      </c>
      <c r="X8" s="40">
        <v>9.64</v>
      </c>
      <c r="Y8" s="83">
        <f t="shared" si="10"/>
        <v>10994.227200000001</v>
      </c>
      <c r="Z8" s="83">
        <f t="shared" si="11"/>
        <v>111356.46720000001</v>
      </c>
      <c r="AA8" s="40">
        <f t="shared" si="12"/>
        <v>1113.5646720000002</v>
      </c>
      <c r="AB8" s="83">
        <f t="shared" si="13"/>
        <v>9708.5642593392859</v>
      </c>
      <c r="AC8" s="83">
        <f t="shared" si="14"/>
        <v>97.085642593392862</v>
      </c>
      <c r="AD8" s="19">
        <f t="shared" si="15"/>
        <v>9805.6499019326784</v>
      </c>
    </row>
    <row r="9" spans="1:30" x14ac:dyDescent="0.4">
      <c r="A9" s="216"/>
      <c r="B9" s="219"/>
      <c r="C9" s="219"/>
      <c r="D9" s="223" t="s">
        <v>73</v>
      </c>
      <c r="E9" s="223"/>
      <c r="F9" s="20">
        <v>30</v>
      </c>
      <c r="G9" s="17">
        <v>0</v>
      </c>
      <c r="H9" s="17">
        <v>1425.6</v>
      </c>
      <c r="I9" s="17">
        <v>0</v>
      </c>
      <c r="J9" s="17">
        <v>0</v>
      </c>
      <c r="K9" s="40">
        <f>(G9+H9+I9+J9)</f>
        <v>1425.6</v>
      </c>
      <c r="L9" s="40">
        <f t="shared" si="0"/>
        <v>285.33886108170407</v>
      </c>
      <c r="M9" s="40">
        <f t="shared" si="1"/>
        <v>35.089752060224868</v>
      </c>
      <c r="N9" s="83">
        <f t="shared" si="2"/>
        <v>456803.03089513391</v>
      </c>
      <c r="O9" s="40">
        <f t="shared" si="3"/>
        <v>6101.6862053711593</v>
      </c>
      <c r="P9" s="40">
        <f t="shared" si="4"/>
        <v>1250.5987634264143</v>
      </c>
      <c r="Q9" s="83">
        <f t="shared" si="5"/>
        <v>7352.284968797574</v>
      </c>
      <c r="R9" s="83">
        <f t="shared" si="6"/>
        <v>39826.169874275212</v>
      </c>
      <c r="S9" s="83">
        <f t="shared" si="7"/>
        <v>641.00570777218024</v>
      </c>
      <c r="T9" s="19">
        <f t="shared" si="8"/>
        <v>40467.175582047392</v>
      </c>
      <c r="U9" s="40">
        <f>(G9+H9+I9+J9)</f>
        <v>1425.6</v>
      </c>
      <c r="V9" s="40">
        <v>88</v>
      </c>
      <c r="W9" s="83">
        <f t="shared" si="9"/>
        <v>125452.79999999999</v>
      </c>
      <c r="X9" s="40">
        <v>9.64</v>
      </c>
      <c r="Y9" s="83">
        <f t="shared" si="10"/>
        <v>13742.784</v>
      </c>
      <c r="Z9" s="83">
        <f t="shared" si="11"/>
        <v>139195.58399999997</v>
      </c>
      <c r="AA9" s="40">
        <f t="shared" si="12"/>
        <v>1391.9558399999999</v>
      </c>
      <c r="AB9" s="83">
        <f t="shared" si="13"/>
        <v>12135.705324174103</v>
      </c>
      <c r="AC9" s="83">
        <f t="shared" si="14"/>
        <v>121.35705324174104</v>
      </c>
      <c r="AD9" s="19">
        <f t="shared" si="15"/>
        <v>12257.062377415845</v>
      </c>
    </row>
    <row r="10" spans="1:30" x14ac:dyDescent="0.4">
      <c r="A10" s="217"/>
      <c r="B10" s="220"/>
      <c r="C10" s="220"/>
      <c r="D10" s="223" t="s">
        <v>74</v>
      </c>
      <c r="E10" s="223"/>
      <c r="F10" s="20">
        <v>30</v>
      </c>
      <c r="G10" s="17">
        <v>0</v>
      </c>
      <c r="H10" s="17">
        <v>1710.72</v>
      </c>
      <c r="I10" s="17">
        <v>0</v>
      </c>
      <c r="J10" s="17">
        <v>0</v>
      </c>
      <c r="K10" s="40">
        <f>(G10+H10+I10+J10)</f>
        <v>1710.72</v>
      </c>
      <c r="L10" s="40">
        <f t="shared" si="0"/>
        <v>278.40142585943778</v>
      </c>
      <c r="M10" s="40">
        <f t="shared" si="1"/>
        <v>30.90794653371626</v>
      </c>
      <c r="N10" s="83">
        <f t="shared" si="2"/>
        <v>529141.72954041651</v>
      </c>
      <c r="O10" s="40">
        <f t="shared" si="3"/>
        <v>7144.0033086938602</v>
      </c>
      <c r="P10" s="40">
        <f t="shared" si="4"/>
        <v>1321.871057353977</v>
      </c>
      <c r="Q10" s="83">
        <f t="shared" si="5"/>
        <v>8465.8743660478376</v>
      </c>
      <c r="R10" s="83">
        <f t="shared" si="6"/>
        <v>46132.98726794614</v>
      </c>
      <c r="S10" s="83">
        <f t="shared" si="7"/>
        <v>738.09350602556344</v>
      </c>
      <c r="T10" s="19">
        <f t="shared" si="8"/>
        <v>46871.080773971706</v>
      </c>
      <c r="U10" s="40">
        <f>(G10+H10+I10+J10)</f>
        <v>1710.72</v>
      </c>
      <c r="V10" s="40">
        <v>88</v>
      </c>
      <c r="W10" s="83">
        <f t="shared" si="9"/>
        <v>150543.36000000002</v>
      </c>
      <c r="X10" s="40">
        <v>9.64</v>
      </c>
      <c r="Y10" s="83">
        <f t="shared" si="10"/>
        <v>16491.340800000002</v>
      </c>
      <c r="Z10" s="83">
        <f t="shared" si="11"/>
        <v>167034.70080000002</v>
      </c>
      <c r="AA10" s="40">
        <f t="shared" si="12"/>
        <v>1670.3470080000002</v>
      </c>
      <c r="AB10" s="83">
        <f t="shared" si="13"/>
        <v>14562.846389008928</v>
      </c>
      <c r="AC10" s="83">
        <f t="shared" si="14"/>
        <v>145.62846389008928</v>
      </c>
      <c r="AD10" s="19">
        <f t="shared" si="15"/>
        <v>14708.474852899017</v>
      </c>
    </row>
    <row r="11" spans="1:30" x14ac:dyDescent="0.4">
      <c r="A11" s="224" t="s">
        <v>65</v>
      </c>
      <c r="B11" s="227" t="s">
        <v>76</v>
      </c>
      <c r="C11" s="228" t="s">
        <v>55</v>
      </c>
      <c r="D11" s="228"/>
      <c r="E11" s="228"/>
      <c r="F11" s="46">
        <v>90</v>
      </c>
      <c r="G11" s="47">
        <v>0</v>
      </c>
      <c r="H11" s="48">
        <v>1670</v>
      </c>
      <c r="I11" s="47">
        <v>0</v>
      </c>
      <c r="J11" s="47">
        <v>0</v>
      </c>
      <c r="K11" s="70" t="s">
        <v>50</v>
      </c>
      <c r="L11" s="70" t="s">
        <v>50</v>
      </c>
      <c r="M11" s="70" t="s">
        <v>50</v>
      </c>
      <c r="N11" s="84" t="s">
        <v>50</v>
      </c>
      <c r="O11" s="89" t="s">
        <v>50</v>
      </c>
      <c r="P11" s="89" t="s">
        <v>50</v>
      </c>
      <c r="Q11" s="84" t="s">
        <v>50</v>
      </c>
      <c r="R11" s="84" t="s">
        <v>50</v>
      </c>
      <c r="S11" s="90" t="s">
        <v>50</v>
      </c>
      <c r="T11" s="88" t="s">
        <v>50</v>
      </c>
      <c r="U11" s="70" t="s">
        <v>50</v>
      </c>
      <c r="V11" s="89" t="s">
        <v>50</v>
      </c>
      <c r="W11" s="84" t="s">
        <v>50</v>
      </c>
      <c r="X11" s="89" t="s">
        <v>50</v>
      </c>
      <c r="Y11" s="84" t="s">
        <v>50</v>
      </c>
      <c r="Z11" s="84" t="s">
        <v>50</v>
      </c>
      <c r="AA11" s="89" t="s">
        <v>50</v>
      </c>
      <c r="AB11" s="84" t="s">
        <v>50</v>
      </c>
      <c r="AC11" s="84" t="s">
        <v>50</v>
      </c>
      <c r="AD11" s="88" t="s">
        <v>50</v>
      </c>
    </row>
    <row r="12" spans="1:30" x14ac:dyDescent="0.4">
      <c r="A12" s="225"/>
      <c r="B12" s="227"/>
      <c r="C12" s="229" t="s">
        <v>69</v>
      </c>
      <c r="D12" s="232" t="s">
        <v>70</v>
      </c>
      <c r="E12" s="233"/>
      <c r="F12" s="51">
        <v>30</v>
      </c>
      <c r="G12" s="47">
        <v>0</v>
      </c>
      <c r="H12" s="47">
        <v>427.68</v>
      </c>
      <c r="I12" s="47">
        <v>0</v>
      </c>
      <c r="J12" s="47">
        <v>0</v>
      </c>
      <c r="K12" s="71">
        <f>(G11+H11+I11+J11+G12+H12+I12+J12)</f>
        <v>2097.6799999999998</v>
      </c>
      <c r="L12" s="71">
        <f t="shared" si="0"/>
        <v>270.84187648776265</v>
      </c>
      <c r="M12" s="71">
        <f t="shared" si="1"/>
        <v>26.818357770390651</v>
      </c>
      <c r="N12" s="84">
        <f t="shared" si="2"/>
        <v>624395.920198643</v>
      </c>
      <c r="O12" s="89">
        <f t="shared" si="3"/>
        <v>8522.0938120627488</v>
      </c>
      <c r="P12" s="89">
        <f t="shared" si="4"/>
        <v>1406.4083181948265</v>
      </c>
      <c r="Q12" s="84">
        <f t="shared" si="5"/>
        <v>9928.5021302575751</v>
      </c>
      <c r="R12" s="84">
        <f t="shared" si="6"/>
        <v>54437.681680672154</v>
      </c>
      <c r="S12" s="90">
        <f t="shared" si="7"/>
        <v>865.61205967023204</v>
      </c>
      <c r="T12" s="88">
        <f t="shared" si="8"/>
        <v>55303.293740342386</v>
      </c>
      <c r="U12" s="71">
        <f>(G11+H11+I11+J11+G12+H12+I12+J12)</f>
        <v>2097.6799999999998</v>
      </c>
      <c r="V12" s="89">
        <v>88</v>
      </c>
      <c r="W12" s="84">
        <f t="shared" si="9"/>
        <v>184595.84</v>
      </c>
      <c r="X12" s="89">
        <v>9.64</v>
      </c>
      <c r="Y12" s="84">
        <f t="shared" si="10"/>
        <v>20221.635200000001</v>
      </c>
      <c r="Z12" s="84">
        <f t="shared" si="11"/>
        <v>204817.47519999999</v>
      </c>
      <c r="AA12" s="89">
        <f t="shared" si="12"/>
        <v>2048.1747519999999</v>
      </c>
      <c r="AB12" s="84">
        <f t="shared" si="13"/>
        <v>17856.920836429246</v>
      </c>
      <c r="AC12" s="84">
        <f t="shared" si="14"/>
        <v>178.56920836429248</v>
      </c>
      <c r="AD12" s="88">
        <f t="shared" si="15"/>
        <v>18035.49004479354</v>
      </c>
    </row>
    <row r="13" spans="1:30" x14ac:dyDescent="0.4">
      <c r="A13" s="225"/>
      <c r="B13" s="227"/>
      <c r="C13" s="230"/>
      <c r="D13" s="232" t="s">
        <v>71</v>
      </c>
      <c r="E13" s="233"/>
      <c r="F13" s="51">
        <v>30</v>
      </c>
      <c r="G13" s="47">
        <v>0</v>
      </c>
      <c r="H13" s="47">
        <v>712.8</v>
      </c>
      <c r="I13" s="47">
        <v>0</v>
      </c>
      <c r="J13" s="47">
        <v>0</v>
      </c>
      <c r="K13" s="71">
        <f>(G11+H11+I11+J11+G13+H13+I13+J13)</f>
        <v>2382.8000000000002</v>
      </c>
      <c r="L13" s="71">
        <f t="shared" si="0"/>
        <v>266.22190470359379</v>
      </c>
      <c r="M13" s="71">
        <f t="shared" si="1"/>
        <v>24.541987233771572</v>
      </c>
      <c r="N13" s="84">
        <f t="shared" si="2"/>
        <v>692832.20170835429</v>
      </c>
      <c r="O13" s="89">
        <f t="shared" si="3"/>
        <v>9515.3033179158501</v>
      </c>
      <c r="P13" s="89">
        <f t="shared" si="4"/>
        <v>1461.9661795157726</v>
      </c>
      <c r="Q13" s="84">
        <f t="shared" si="5"/>
        <v>10977.269497431622</v>
      </c>
      <c r="R13" s="84">
        <f t="shared" si="6"/>
        <v>60404.268565239421</v>
      </c>
      <c r="S13" s="90">
        <f t="shared" si="7"/>
        <v>957.04837794908019</v>
      </c>
      <c r="T13" s="88">
        <f t="shared" si="8"/>
        <v>61361.316943188504</v>
      </c>
      <c r="U13" s="71">
        <f>(G11+H11+I11+J11+G13+H13+I13+J13)</f>
        <v>2382.8000000000002</v>
      </c>
      <c r="V13" s="89">
        <v>88</v>
      </c>
      <c r="W13" s="84">
        <f t="shared" si="9"/>
        <v>209686.40000000002</v>
      </c>
      <c r="X13" s="89">
        <v>9.64</v>
      </c>
      <c r="Y13" s="84">
        <f t="shared" si="10"/>
        <v>22970.192000000003</v>
      </c>
      <c r="Z13" s="84">
        <f t="shared" si="11"/>
        <v>232656.59200000003</v>
      </c>
      <c r="AA13" s="89">
        <f t="shared" si="12"/>
        <v>2326.5659200000005</v>
      </c>
      <c r="AB13" s="84">
        <f t="shared" si="13"/>
        <v>20284.061901264075</v>
      </c>
      <c r="AC13" s="84">
        <f t="shared" si="14"/>
        <v>202.84061901264073</v>
      </c>
      <c r="AD13" s="88">
        <f t="shared" si="15"/>
        <v>20486.902520276715</v>
      </c>
    </row>
    <row r="14" spans="1:30" x14ac:dyDescent="0.4">
      <c r="A14" s="225"/>
      <c r="B14" s="227"/>
      <c r="C14" s="230"/>
      <c r="D14" s="232" t="s">
        <v>72</v>
      </c>
      <c r="E14" s="233"/>
      <c r="F14" s="51">
        <v>30</v>
      </c>
      <c r="G14" s="47">
        <v>0</v>
      </c>
      <c r="H14" s="47">
        <v>1140.48</v>
      </c>
      <c r="I14" s="47">
        <v>0</v>
      </c>
      <c r="J14" s="47">
        <v>0</v>
      </c>
      <c r="K14" s="71">
        <f>(G11+H11+I11+J11+G14+H14+I14+J14)</f>
        <v>2810.48</v>
      </c>
      <c r="L14" s="71">
        <f t="shared" si="0"/>
        <v>260.35459309371157</v>
      </c>
      <c r="M14" s="71">
        <f t="shared" si="1"/>
        <v>21.87819365214127</v>
      </c>
      <c r="N14" s="90">
        <f t="shared" si="2"/>
        <v>793209.60249348439</v>
      </c>
      <c r="O14" s="71">
        <f t="shared" si="3"/>
        <v>10975.820651970216</v>
      </c>
      <c r="P14" s="71">
        <f t="shared" si="4"/>
        <v>1537.20564238675</v>
      </c>
      <c r="Q14" s="90">
        <f t="shared" si="5"/>
        <v>12513.026294356967</v>
      </c>
      <c r="R14" s="90">
        <f t="shared" si="6"/>
        <v>69155.627783178847</v>
      </c>
      <c r="S14" s="90">
        <f t="shared" si="7"/>
        <v>1090.9426539132048</v>
      </c>
      <c r="T14" s="52">
        <f t="shared" si="8"/>
        <v>70246.570437092058</v>
      </c>
      <c r="U14" s="71">
        <f>(G11+H11+I11+J11+G14+H14+I14+J14)</f>
        <v>2810.48</v>
      </c>
      <c r="V14" s="71">
        <v>88</v>
      </c>
      <c r="W14" s="90">
        <f t="shared" si="9"/>
        <v>247322.23999999999</v>
      </c>
      <c r="X14" s="71">
        <v>9.64</v>
      </c>
      <c r="Y14" s="90">
        <f t="shared" si="10"/>
        <v>27093.0272</v>
      </c>
      <c r="Z14" s="90">
        <f t="shared" si="11"/>
        <v>274415.2672</v>
      </c>
      <c r="AA14" s="71">
        <f t="shared" si="12"/>
        <v>2744.1526720000002</v>
      </c>
      <c r="AB14" s="90">
        <f t="shared" si="13"/>
        <v>23924.773498516301</v>
      </c>
      <c r="AC14" s="90">
        <f t="shared" si="14"/>
        <v>239.24773498516302</v>
      </c>
      <c r="AD14" s="52">
        <f t="shared" si="15"/>
        <v>24164.021233501462</v>
      </c>
    </row>
    <row r="15" spans="1:30" x14ac:dyDescent="0.4">
      <c r="A15" s="225"/>
      <c r="B15" s="227"/>
      <c r="C15" s="230"/>
      <c r="D15" s="228" t="s">
        <v>73</v>
      </c>
      <c r="E15" s="228"/>
      <c r="F15" s="51">
        <v>30</v>
      </c>
      <c r="G15" s="47">
        <v>0</v>
      </c>
      <c r="H15" s="47">
        <v>1425.6</v>
      </c>
      <c r="I15" s="47">
        <v>0</v>
      </c>
      <c r="J15" s="47">
        <v>0</v>
      </c>
      <c r="K15" s="69">
        <f>(G11+H11+I11+J11+G15+H15+I15+J15)</f>
        <v>3095.6</v>
      </c>
      <c r="L15" s="69">
        <f t="shared" si="0"/>
        <v>256.98043386966458</v>
      </c>
      <c r="M15" s="69">
        <f t="shared" si="1"/>
        <v>20.455226003866972</v>
      </c>
      <c r="N15" s="67">
        <f t="shared" si="2"/>
        <v>858829.8287045043</v>
      </c>
      <c r="O15" s="69">
        <f t="shared" si="3"/>
        <v>11932.629466304004</v>
      </c>
      <c r="P15" s="69">
        <f t="shared" si="4"/>
        <v>1583.0299404392649</v>
      </c>
      <c r="Q15" s="67">
        <f t="shared" si="5"/>
        <v>13515.659406743269</v>
      </c>
      <c r="R15" s="67">
        <f t="shared" si="6"/>
        <v>74876.698134107384</v>
      </c>
      <c r="S15" s="67">
        <f t="shared" si="7"/>
        <v>1178.356777626926</v>
      </c>
      <c r="T15" s="80">
        <f t="shared" si="8"/>
        <v>76055.054911734303</v>
      </c>
      <c r="U15" s="71">
        <f>(G11+H11+I11+J11+G15+H15+I15+J15)</f>
        <v>3095.6</v>
      </c>
      <c r="V15" s="71">
        <v>88</v>
      </c>
      <c r="W15" s="90">
        <f t="shared" si="9"/>
        <v>272412.79999999999</v>
      </c>
      <c r="X15" s="71">
        <v>9.64</v>
      </c>
      <c r="Y15" s="90">
        <f t="shared" si="10"/>
        <v>29841.584000000003</v>
      </c>
      <c r="Z15" s="90">
        <f t="shared" si="11"/>
        <v>302254.38399999996</v>
      </c>
      <c r="AA15" s="71">
        <f t="shared" si="12"/>
        <v>3022.5438399999998</v>
      </c>
      <c r="AB15" s="90">
        <f t="shared" si="13"/>
        <v>26351.914563351118</v>
      </c>
      <c r="AC15" s="90">
        <f t="shared" si="14"/>
        <v>263.51914563351119</v>
      </c>
      <c r="AD15" s="52">
        <f t="shared" si="15"/>
        <v>26615.43370898463</v>
      </c>
    </row>
    <row r="16" spans="1:30" x14ac:dyDescent="0.4">
      <c r="A16" s="225"/>
      <c r="B16" s="227"/>
      <c r="C16" s="231"/>
      <c r="D16" s="228" t="s">
        <v>74</v>
      </c>
      <c r="E16" s="228"/>
      <c r="F16" s="51">
        <v>30</v>
      </c>
      <c r="G16" s="47">
        <v>0</v>
      </c>
      <c r="H16" s="47">
        <v>1710.72</v>
      </c>
      <c r="I16" s="47">
        <v>0</v>
      </c>
      <c r="J16" s="47">
        <v>0</v>
      </c>
      <c r="K16" s="69">
        <f>(G11+H11+I11+J11+G16+H16+I16+J16)</f>
        <v>3380.7200000000003</v>
      </c>
      <c r="L16" s="69">
        <f t="shared" si="0"/>
        <v>253.94190239167645</v>
      </c>
      <c r="M16" s="69">
        <f t="shared" si="1"/>
        <v>19.238547693338319</v>
      </c>
      <c r="N16" s="67">
        <f t="shared" si="2"/>
        <v>923546.61121141107</v>
      </c>
      <c r="O16" s="69">
        <f t="shared" si="3"/>
        <v>12877.597023803826</v>
      </c>
      <c r="P16" s="69">
        <f t="shared" si="4"/>
        <v>1626.0035739455684</v>
      </c>
      <c r="Q16" s="67">
        <f t="shared" si="5"/>
        <v>14503.600597749395</v>
      </c>
      <c r="R16" s="67">
        <f t="shared" si="6"/>
        <v>80519.002145939303</v>
      </c>
      <c r="S16" s="67">
        <f t="shared" si="7"/>
        <v>1264.4899926839782</v>
      </c>
      <c r="T16" s="80">
        <f t="shared" si="8"/>
        <v>81783.492138623275</v>
      </c>
      <c r="U16" s="71">
        <f>(G11+H11+I11+J11+G16+H16+I16+J16)</f>
        <v>3380.7200000000003</v>
      </c>
      <c r="V16" s="71">
        <v>88</v>
      </c>
      <c r="W16" s="90">
        <f t="shared" si="9"/>
        <v>297503.36000000004</v>
      </c>
      <c r="X16" s="71">
        <v>9.64</v>
      </c>
      <c r="Y16" s="90">
        <f t="shared" si="10"/>
        <v>32590.140800000005</v>
      </c>
      <c r="Z16" s="90">
        <f t="shared" si="11"/>
        <v>330093.50080000004</v>
      </c>
      <c r="AA16" s="71">
        <f t="shared" si="12"/>
        <v>3300.9350080000004</v>
      </c>
      <c r="AB16" s="90">
        <f t="shared" si="13"/>
        <v>28779.055628185946</v>
      </c>
      <c r="AC16" s="90">
        <f t="shared" si="14"/>
        <v>287.79055628185949</v>
      </c>
      <c r="AD16" s="52">
        <f t="shared" si="15"/>
        <v>29066.846184467806</v>
      </c>
    </row>
    <row r="17" spans="1:30" x14ac:dyDescent="0.4">
      <c r="A17" s="225"/>
      <c r="B17" s="234" t="s">
        <v>77</v>
      </c>
      <c r="C17" s="252" t="s">
        <v>55</v>
      </c>
      <c r="D17" s="246"/>
      <c r="E17" s="246"/>
      <c r="F17" s="23">
        <v>90</v>
      </c>
      <c r="G17" s="7">
        <v>0</v>
      </c>
      <c r="H17" s="8">
        <v>1670</v>
      </c>
      <c r="I17" s="7">
        <v>0</v>
      </c>
      <c r="J17" s="7">
        <v>0</v>
      </c>
      <c r="K17" s="26" t="s">
        <v>50</v>
      </c>
      <c r="L17" s="26" t="s">
        <v>50</v>
      </c>
      <c r="M17" s="79" t="s">
        <v>50</v>
      </c>
      <c r="N17" s="34" t="s">
        <v>50</v>
      </c>
      <c r="O17" s="79" t="s">
        <v>50</v>
      </c>
      <c r="P17" s="79" t="s">
        <v>50</v>
      </c>
      <c r="Q17" s="34" t="s">
        <v>50</v>
      </c>
      <c r="R17" s="34" t="s">
        <v>50</v>
      </c>
      <c r="S17" s="34" t="s">
        <v>50</v>
      </c>
      <c r="T17" s="15" t="s">
        <v>50</v>
      </c>
      <c r="U17" s="26" t="s">
        <v>50</v>
      </c>
      <c r="V17" s="79" t="s">
        <v>50</v>
      </c>
      <c r="W17" s="34" t="s">
        <v>50</v>
      </c>
      <c r="X17" s="79" t="s">
        <v>50</v>
      </c>
      <c r="Y17" s="34" t="s">
        <v>50</v>
      </c>
      <c r="Z17" s="34" t="s">
        <v>50</v>
      </c>
      <c r="AA17" s="79" t="s">
        <v>50</v>
      </c>
      <c r="AB17" s="34" t="s">
        <v>50</v>
      </c>
      <c r="AC17" s="34" t="s">
        <v>50</v>
      </c>
      <c r="AD17" s="15" t="s">
        <v>50</v>
      </c>
    </row>
    <row r="18" spans="1:30" x14ac:dyDescent="0.4">
      <c r="A18" s="225"/>
      <c r="B18" s="235"/>
      <c r="C18" s="246" t="s">
        <v>79</v>
      </c>
      <c r="D18" s="247" t="s">
        <v>80</v>
      </c>
      <c r="E18" s="32" t="s">
        <v>95</v>
      </c>
      <c r="F18" s="32">
        <v>30</v>
      </c>
      <c r="G18" s="27">
        <v>0</v>
      </c>
      <c r="H18" s="27">
        <v>427.68</v>
      </c>
      <c r="I18" s="27">
        <v>0</v>
      </c>
      <c r="J18" s="27">
        <v>0</v>
      </c>
      <c r="K18" s="35" t="s">
        <v>50</v>
      </c>
      <c r="L18" s="35" t="s">
        <v>50</v>
      </c>
      <c r="M18" s="78" t="s">
        <v>50</v>
      </c>
      <c r="N18" s="33" t="s">
        <v>50</v>
      </c>
      <c r="O18" s="78" t="s">
        <v>50</v>
      </c>
      <c r="P18" s="78" t="s">
        <v>50</v>
      </c>
      <c r="Q18" s="33" t="s">
        <v>50</v>
      </c>
      <c r="R18" s="33" t="s">
        <v>50</v>
      </c>
      <c r="S18" s="33" t="s">
        <v>50</v>
      </c>
      <c r="T18" s="29" t="s">
        <v>50</v>
      </c>
      <c r="U18" s="35" t="s">
        <v>50</v>
      </c>
      <c r="V18" s="78">
        <v>88</v>
      </c>
      <c r="W18" s="33" t="s">
        <v>50</v>
      </c>
      <c r="X18" s="78" t="s">
        <v>50</v>
      </c>
      <c r="Y18" s="33" t="s">
        <v>50</v>
      </c>
      <c r="Z18" s="33" t="s">
        <v>50</v>
      </c>
      <c r="AA18" s="78" t="s">
        <v>50</v>
      </c>
      <c r="AB18" s="33" t="s">
        <v>50</v>
      </c>
      <c r="AC18" s="33" t="s">
        <v>50</v>
      </c>
      <c r="AD18" s="29" t="s">
        <v>50</v>
      </c>
    </row>
    <row r="19" spans="1:30" x14ac:dyDescent="0.4">
      <c r="A19" s="225"/>
      <c r="B19" s="235"/>
      <c r="C19" s="246"/>
      <c r="D19" s="247"/>
      <c r="E19" s="32" t="s">
        <v>100</v>
      </c>
      <c r="F19" s="32">
        <v>60</v>
      </c>
      <c r="G19" s="27">
        <v>0</v>
      </c>
      <c r="H19" s="28">
        <v>10.5</v>
      </c>
      <c r="I19" s="27">
        <v>5.25</v>
      </c>
      <c r="J19" s="27">
        <v>5.25</v>
      </c>
      <c r="K19" s="72">
        <f>(G17+H17+I17+J17+G18+H18+I18+J18+G19+H19+I19+J19)</f>
        <v>2118.6799999999998</v>
      </c>
      <c r="L19" s="72">
        <f t="shared" si="0"/>
        <v>270.47790044535901</v>
      </c>
      <c r="M19" s="78">
        <f t="shared" si="1"/>
        <v>26.633067765193431</v>
      </c>
      <c r="N19" s="33">
        <f t="shared" si="2"/>
        <v>629483.0661283331</v>
      </c>
      <c r="O19" s="78">
        <f t="shared" si="3"/>
        <v>8595.8417717335979</v>
      </c>
      <c r="P19" s="78">
        <f t="shared" si="4"/>
        <v>1410.6737003190003</v>
      </c>
      <c r="Q19" s="33">
        <f t="shared" si="5"/>
        <v>10006.515472052599</v>
      </c>
      <c r="R19" s="33">
        <f t="shared" si="6"/>
        <v>54881.202244828775</v>
      </c>
      <c r="S19" s="33">
        <f t="shared" si="7"/>
        <v>872.41361831291488</v>
      </c>
      <c r="T19" s="29">
        <f t="shared" si="8"/>
        <v>55753.615863141691</v>
      </c>
      <c r="U19" s="72">
        <f>(G17+H17+I17+J17+G18+H18+I18+J18+G19+H19+I19+J19)</f>
        <v>2118.6799999999998</v>
      </c>
      <c r="V19" s="78">
        <v>88</v>
      </c>
      <c r="W19" s="33">
        <f t="shared" si="9"/>
        <v>186443.84</v>
      </c>
      <c r="X19" s="78">
        <v>9.64</v>
      </c>
      <c r="Y19" s="33">
        <f t="shared" si="10"/>
        <v>20424.075199999999</v>
      </c>
      <c r="Z19" s="33">
        <f t="shared" si="11"/>
        <v>206867.91519999999</v>
      </c>
      <c r="AA19" s="78">
        <f t="shared" si="12"/>
        <v>2068.6791519999997</v>
      </c>
      <c r="AB19" s="33">
        <f t="shared" si="13"/>
        <v>18035.687539436862</v>
      </c>
      <c r="AC19" s="33">
        <f t="shared" si="14"/>
        <v>180.35687539436861</v>
      </c>
      <c r="AD19" s="29">
        <f t="shared" si="15"/>
        <v>18216.044414831231</v>
      </c>
    </row>
    <row r="20" spans="1:30" x14ac:dyDescent="0.4">
      <c r="A20" s="225"/>
      <c r="B20" s="235"/>
      <c r="C20" s="246"/>
      <c r="D20" s="246" t="s">
        <v>81</v>
      </c>
      <c r="E20" s="23" t="s">
        <v>95</v>
      </c>
      <c r="F20" s="23">
        <v>30</v>
      </c>
      <c r="G20" s="7">
        <v>0</v>
      </c>
      <c r="H20" s="7">
        <v>427.68</v>
      </c>
      <c r="I20" s="7">
        <v>0</v>
      </c>
      <c r="J20" s="7">
        <v>0</v>
      </c>
      <c r="K20" s="34" t="s">
        <v>50</v>
      </c>
      <c r="L20" s="34" t="s">
        <v>50</v>
      </c>
      <c r="M20" s="79" t="s">
        <v>50</v>
      </c>
      <c r="N20" s="34" t="s">
        <v>50</v>
      </c>
      <c r="O20" s="79" t="s">
        <v>50</v>
      </c>
      <c r="P20" s="79" t="s">
        <v>50</v>
      </c>
      <c r="Q20" s="34" t="s">
        <v>50</v>
      </c>
      <c r="R20" s="34" t="s">
        <v>50</v>
      </c>
      <c r="S20" s="34" t="s">
        <v>50</v>
      </c>
      <c r="T20" s="15" t="s">
        <v>50</v>
      </c>
      <c r="U20" s="34" t="s">
        <v>50</v>
      </c>
      <c r="V20" s="79" t="s">
        <v>50</v>
      </c>
      <c r="W20" s="34" t="s">
        <v>50</v>
      </c>
      <c r="X20" s="79" t="s">
        <v>50</v>
      </c>
      <c r="Y20" s="34" t="s">
        <v>50</v>
      </c>
      <c r="Z20" s="34" t="s">
        <v>50</v>
      </c>
      <c r="AA20" s="79" t="s">
        <v>50</v>
      </c>
      <c r="AB20" s="34" t="s">
        <v>50</v>
      </c>
      <c r="AC20" s="34" t="s">
        <v>50</v>
      </c>
      <c r="AD20" s="15" t="s">
        <v>50</v>
      </c>
    </row>
    <row r="21" spans="1:30" x14ac:dyDescent="0.4">
      <c r="A21" s="225"/>
      <c r="B21" s="235"/>
      <c r="C21" s="246"/>
      <c r="D21" s="246"/>
      <c r="E21" s="23" t="s">
        <v>101</v>
      </c>
      <c r="F21" s="23">
        <v>30</v>
      </c>
      <c r="G21" s="7">
        <v>0</v>
      </c>
      <c r="H21" s="8">
        <v>10.5</v>
      </c>
      <c r="I21" s="7">
        <v>5.25</v>
      </c>
      <c r="J21" s="7">
        <v>5.25</v>
      </c>
      <c r="K21" s="73">
        <f>(G17+H17+I17+J17+G20+H20+I20+J20+G21+H21+I21+J21)</f>
        <v>2118.6799999999998</v>
      </c>
      <c r="L21" s="73">
        <f t="shared" si="0"/>
        <v>270.47790044535901</v>
      </c>
      <c r="M21" s="79">
        <f t="shared" si="1"/>
        <v>26.633067765193431</v>
      </c>
      <c r="N21" s="34">
        <f t="shared" si="2"/>
        <v>629483.0661283331</v>
      </c>
      <c r="O21" s="79">
        <f t="shared" si="3"/>
        <v>8595.8417717335979</v>
      </c>
      <c r="P21" s="79">
        <f t="shared" si="4"/>
        <v>1410.6737003190003</v>
      </c>
      <c r="Q21" s="34">
        <f t="shared" si="5"/>
        <v>10006.515472052599</v>
      </c>
      <c r="R21" s="34">
        <f t="shared" si="6"/>
        <v>54881.202244828775</v>
      </c>
      <c r="S21" s="34">
        <f t="shared" si="7"/>
        <v>872.41361831291488</v>
      </c>
      <c r="T21" s="15">
        <f t="shared" si="8"/>
        <v>55753.615863141691</v>
      </c>
      <c r="U21" s="73">
        <f>(G17+H17+I17+J17+G2+H20+I20+J20+G21+H21+I21+J21)</f>
        <v>2118.6799999999998</v>
      </c>
      <c r="V21" s="79">
        <v>88</v>
      </c>
      <c r="W21" s="34">
        <f t="shared" si="9"/>
        <v>186443.84</v>
      </c>
      <c r="X21" s="79">
        <v>9.64</v>
      </c>
      <c r="Y21" s="34">
        <f t="shared" si="10"/>
        <v>20424.075199999999</v>
      </c>
      <c r="Z21" s="34">
        <f t="shared" si="11"/>
        <v>206867.91519999999</v>
      </c>
      <c r="AA21" s="79">
        <f t="shared" si="12"/>
        <v>2068.6791519999997</v>
      </c>
      <c r="AB21" s="34">
        <f t="shared" si="13"/>
        <v>18035.687539436862</v>
      </c>
      <c r="AC21" s="34">
        <f t="shared" si="14"/>
        <v>180.35687539436861</v>
      </c>
      <c r="AD21" s="15">
        <f t="shared" si="15"/>
        <v>18216.044414831231</v>
      </c>
    </row>
    <row r="22" spans="1:30" x14ac:dyDescent="0.4">
      <c r="A22" s="225"/>
      <c r="B22" s="235"/>
      <c r="C22" s="246"/>
      <c r="D22" s="247" t="s">
        <v>82</v>
      </c>
      <c r="E22" s="32" t="s">
        <v>95</v>
      </c>
      <c r="F22" s="32">
        <v>30</v>
      </c>
      <c r="G22" s="27">
        <v>0</v>
      </c>
      <c r="H22" s="27">
        <v>427.68</v>
      </c>
      <c r="I22" s="27">
        <v>0</v>
      </c>
      <c r="J22" s="27">
        <v>0</v>
      </c>
      <c r="K22" s="33" t="s">
        <v>50</v>
      </c>
      <c r="L22" s="33" t="s">
        <v>50</v>
      </c>
      <c r="M22" s="78" t="s">
        <v>50</v>
      </c>
      <c r="N22" s="33" t="s">
        <v>50</v>
      </c>
      <c r="O22" s="78" t="s">
        <v>50</v>
      </c>
      <c r="P22" s="78" t="s">
        <v>50</v>
      </c>
      <c r="Q22" s="33" t="s">
        <v>50</v>
      </c>
      <c r="R22" s="33" t="s">
        <v>50</v>
      </c>
      <c r="S22" s="33" t="s">
        <v>50</v>
      </c>
      <c r="T22" s="29" t="s">
        <v>50</v>
      </c>
      <c r="U22" s="33" t="s">
        <v>50</v>
      </c>
      <c r="V22" s="78" t="s">
        <v>50</v>
      </c>
      <c r="W22" s="33" t="s">
        <v>50</v>
      </c>
      <c r="X22" s="78" t="s">
        <v>50</v>
      </c>
      <c r="Y22" s="33" t="s">
        <v>50</v>
      </c>
      <c r="Z22" s="33" t="s">
        <v>50</v>
      </c>
      <c r="AA22" s="78" t="s">
        <v>50</v>
      </c>
      <c r="AB22" s="33" t="s">
        <v>50</v>
      </c>
      <c r="AC22" s="33" t="s">
        <v>50</v>
      </c>
      <c r="AD22" s="29" t="s">
        <v>50</v>
      </c>
    </row>
    <row r="23" spans="1:30" x14ac:dyDescent="0.4">
      <c r="A23" s="225"/>
      <c r="B23" s="235"/>
      <c r="C23" s="246"/>
      <c r="D23" s="247"/>
      <c r="E23" s="32" t="s">
        <v>102</v>
      </c>
      <c r="F23" s="32">
        <v>0</v>
      </c>
      <c r="G23" s="27">
        <v>0</v>
      </c>
      <c r="H23" s="28">
        <v>10.5</v>
      </c>
      <c r="I23" s="27">
        <v>5.25</v>
      </c>
      <c r="J23" s="27">
        <v>5.25</v>
      </c>
      <c r="K23" s="72">
        <f>(G17+H17+I17+J17+G22+H22+I22+J22+G23+H23+I23+J23)</f>
        <v>2118.6799999999998</v>
      </c>
      <c r="L23" s="72">
        <f t="shared" si="0"/>
        <v>270.47790044535901</v>
      </c>
      <c r="M23" s="78">
        <f t="shared" si="1"/>
        <v>26.633067765193431</v>
      </c>
      <c r="N23" s="33">
        <f t="shared" si="2"/>
        <v>629483.0661283331</v>
      </c>
      <c r="O23" s="78">
        <f t="shared" si="3"/>
        <v>8595.8417717335979</v>
      </c>
      <c r="P23" s="78">
        <f t="shared" si="4"/>
        <v>1410.6737003190003</v>
      </c>
      <c r="Q23" s="33">
        <f t="shared" si="5"/>
        <v>10006.515472052599</v>
      </c>
      <c r="R23" s="33">
        <f t="shared" si="6"/>
        <v>54881.202244828775</v>
      </c>
      <c r="S23" s="33">
        <f t="shared" si="7"/>
        <v>872.41361831291488</v>
      </c>
      <c r="T23" s="29">
        <f t="shared" si="8"/>
        <v>55753.615863141691</v>
      </c>
      <c r="U23" s="72">
        <f>(G17+H17+I17+J17+G22+H22+I22+J22+G23+H23+I23+J23)</f>
        <v>2118.6799999999998</v>
      </c>
      <c r="V23" s="78">
        <v>88</v>
      </c>
      <c r="W23" s="33">
        <f t="shared" si="9"/>
        <v>186443.84</v>
      </c>
      <c r="X23" s="78">
        <v>9.64</v>
      </c>
      <c r="Y23" s="33">
        <f t="shared" si="10"/>
        <v>20424.075199999999</v>
      </c>
      <c r="Z23" s="33">
        <f t="shared" si="11"/>
        <v>206867.91519999999</v>
      </c>
      <c r="AA23" s="78">
        <f t="shared" si="12"/>
        <v>2068.6791519999997</v>
      </c>
      <c r="AB23" s="33">
        <f t="shared" si="13"/>
        <v>18035.687539436862</v>
      </c>
      <c r="AC23" s="33">
        <f t="shared" si="14"/>
        <v>180.35687539436861</v>
      </c>
      <c r="AD23" s="29">
        <f t="shared" si="15"/>
        <v>18216.044414831231</v>
      </c>
    </row>
    <row r="24" spans="1:30" x14ac:dyDescent="0.4">
      <c r="A24" s="225"/>
      <c r="B24" s="235"/>
      <c r="C24" s="246"/>
      <c r="D24" s="246" t="s">
        <v>83</v>
      </c>
      <c r="E24" s="23" t="s">
        <v>96</v>
      </c>
      <c r="F24" s="23">
        <v>30</v>
      </c>
      <c r="G24" s="7">
        <v>0</v>
      </c>
      <c r="H24" s="7">
        <v>712.8</v>
      </c>
      <c r="I24" s="7">
        <v>0</v>
      </c>
      <c r="J24" s="7">
        <v>0</v>
      </c>
      <c r="K24" s="34" t="s">
        <v>50</v>
      </c>
      <c r="L24" s="34" t="s">
        <v>50</v>
      </c>
      <c r="M24" s="79" t="s">
        <v>50</v>
      </c>
      <c r="N24" s="34" t="s">
        <v>50</v>
      </c>
      <c r="O24" s="79" t="s">
        <v>50</v>
      </c>
      <c r="P24" s="79" t="s">
        <v>50</v>
      </c>
      <c r="Q24" s="34" t="s">
        <v>50</v>
      </c>
      <c r="R24" s="34" t="s">
        <v>50</v>
      </c>
      <c r="S24" s="34" t="s">
        <v>50</v>
      </c>
      <c r="T24" s="15" t="s">
        <v>50</v>
      </c>
      <c r="U24" s="34" t="s">
        <v>50</v>
      </c>
      <c r="V24" s="79" t="s">
        <v>50</v>
      </c>
      <c r="W24" s="34" t="s">
        <v>50</v>
      </c>
      <c r="X24" s="79" t="s">
        <v>50</v>
      </c>
      <c r="Y24" s="34" t="s">
        <v>50</v>
      </c>
      <c r="Z24" s="34" t="s">
        <v>50</v>
      </c>
      <c r="AA24" s="79" t="s">
        <v>50</v>
      </c>
      <c r="AB24" s="34" t="s">
        <v>50</v>
      </c>
      <c r="AC24" s="34" t="s">
        <v>50</v>
      </c>
      <c r="AD24" s="15" t="s">
        <v>50</v>
      </c>
    </row>
    <row r="25" spans="1:30" x14ac:dyDescent="0.4">
      <c r="A25" s="225"/>
      <c r="B25" s="235"/>
      <c r="C25" s="246"/>
      <c r="D25" s="246"/>
      <c r="E25" s="23" t="s">
        <v>100</v>
      </c>
      <c r="F25" s="23">
        <v>60</v>
      </c>
      <c r="G25" s="7">
        <v>0</v>
      </c>
      <c r="H25" s="8">
        <v>10.5</v>
      </c>
      <c r="I25" s="7">
        <v>5.25</v>
      </c>
      <c r="J25" s="7">
        <v>5.25</v>
      </c>
      <c r="K25" s="73">
        <f>(G17+H17+I17+J17+G24+H24+I24+J24+G25+H25+I25+J25)</f>
        <v>2403.8000000000002</v>
      </c>
      <c r="L25" s="73">
        <f t="shared" si="0"/>
        <v>265.90673439594218</v>
      </c>
      <c r="M25" s="79">
        <f t="shared" si="1"/>
        <v>24.3925638925197</v>
      </c>
      <c r="N25" s="34">
        <f t="shared" si="2"/>
        <v>697821.45322580473</v>
      </c>
      <c r="O25" s="79">
        <f t="shared" si="3"/>
        <v>9587.7991221144875</v>
      </c>
      <c r="P25" s="79">
        <f t="shared" si="4"/>
        <v>1465.8711271209716</v>
      </c>
      <c r="Q25" s="34">
        <f t="shared" si="5"/>
        <v>11053.67024923546</v>
      </c>
      <c r="R25" s="34">
        <f t="shared" si="6"/>
        <v>60839.254248434416</v>
      </c>
      <c r="S25" s="34">
        <f t="shared" si="7"/>
        <v>963.70934364779623</v>
      </c>
      <c r="T25" s="15">
        <f t="shared" si="8"/>
        <v>61802.963592082211</v>
      </c>
      <c r="U25" s="73">
        <f>(G17+H17+I17+J17+G24+H24+I24+J24+G25+H25+I25+J25)</f>
        <v>2403.8000000000002</v>
      </c>
      <c r="V25" s="79">
        <v>88</v>
      </c>
      <c r="W25" s="34">
        <f t="shared" si="9"/>
        <v>211534.40000000002</v>
      </c>
      <c r="X25" s="79">
        <v>9.64</v>
      </c>
      <c r="Y25" s="34">
        <f t="shared" si="10"/>
        <v>23172.632000000001</v>
      </c>
      <c r="Z25" s="34">
        <f t="shared" si="11"/>
        <v>234707.03200000004</v>
      </c>
      <c r="AA25" s="79">
        <f t="shared" si="12"/>
        <v>2347.0703200000003</v>
      </c>
      <c r="AB25" s="34">
        <f t="shared" si="13"/>
        <v>20462.82860427169</v>
      </c>
      <c r="AC25" s="34">
        <f t="shared" si="14"/>
        <v>204.62828604271687</v>
      </c>
      <c r="AD25" s="15">
        <f t="shared" si="15"/>
        <v>20667.456890314406</v>
      </c>
    </row>
    <row r="26" spans="1:30" x14ac:dyDescent="0.4">
      <c r="A26" s="225"/>
      <c r="B26" s="235"/>
      <c r="C26" s="246"/>
      <c r="D26" s="247" t="s">
        <v>84</v>
      </c>
      <c r="E26" s="32" t="s">
        <v>96</v>
      </c>
      <c r="F26" s="32">
        <v>30</v>
      </c>
      <c r="G26" s="27">
        <v>0</v>
      </c>
      <c r="H26" s="27">
        <v>712.8</v>
      </c>
      <c r="I26" s="27">
        <v>0</v>
      </c>
      <c r="J26" s="27">
        <v>0</v>
      </c>
      <c r="K26" s="33" t="s">
        <v>50</v>
      </c>
      <c r="L26" s="33" t="s">
        <v>50</v>
      </c>
      <c r="M26" s="78" t="s">
        <v>50</v>
      </c>
      <c r="N26" s="33" t="s">
        <v>50</v>
      </c>
      <c r="O26" s="78" t="s">
        <v>50</v>
      </c>
      <c r="P26" s="78" t="s">
        <v>50</v>
      </c>
      <c r="Q26" s="33" t="s">
        <v>50</v>
      </c>
      <c r="R26" s="33" t="s">
        <v>50</v>
      </c>
      <c r="S26" s="33" t="s">
        <v>50</v>
      </c>
      <c r="T26" s="29" t="s">
        <v>50</v>
      </c>
      <c r="U26" s="33" t="s">
        <v>50</v>
      </c>
      <c r="V26" s="78" t="s">
        <v>50</v>
      </c>
      <c r="W26" s="33" t="s">
        <v>50</v>
      </c>
      <c r="X26" s="78" t="s">
        <v>50</v>
      </c>
      <c r="Y26" s="33" t="s">
        <v>50</v>
      </c>
      <c r="Z26" s="33" t="s">
        <v>50</v>
      </c>
      <c r="AA26" s="78" t="s">
        <v>50</v>
      </c>
      <c r="AB26" s="33" t="s">
        <v>50</v>
      </c>
      <c r="AC26" s="33" t="s">
        <v>50</v>
      </c>
      <c r="AD26" s="29" t="s">
        <v>50</v>
      </c>
    </row>
    <row r="27" spans="1:30" x14ac:dyDescent="0.4">
      <c r="A27" s="225"/>
      <c r="B27" s="235"/>
      <c r="C27" s="246"/>
      <c r="D27" s="247"/>
      <c r="E27" s="32" t="s">
        <v>101</v>
      </c>
      <c r="F27" s="32">
        <v>30</v>
      </c>
      <c r="G27" s="27">
        <v>0</v>
      </c>
      <c r="H27" s="28">
        <v>10.5</v>
      </c>
      <c r="I27" s="27">
        <v>5.25</v>
      </c>
      <c r="J27" s="27">
        <v>5.25</v>
      </c>
      <c r="K27" s="72">
        <f>(G17+H17+I17+J17+G26+H26+I26+J26+G27+H27+I27+J27)</f>
        <v>2403.8000000000002</v>
      </c>
      <c r="L27" s="72">
        <f t="shared" si="0"/>
        <v>265.90673439594218</v>
      </c>
      <c r="M27" s="78">
        <f t="shared" si="1"/>
        <v>24.3925638925197</v>
      </c>
      <c r="N27" s="33">
        <f t="shared" si="2"/>
        <v>697821.45322580473</v>
      </c>
      <c r="O27" s="78">
        <f t="shared" si="3"/>
        <v>9587.7991221144875</v>
      </c>
      <c r="P27" s="78">
        <f t="shared" si="4"/>
        <v>1465.8711271209716</v>
      </c>
      <c r="Q27" s="33">
        <f t="shared" si="5"/>
        <v>11053.67024923546</v>
      </c>
      <c r="R27" s="33">
        <f t="shared" si="6"/>
        <v>60839.254248434416</v>
      </c>
      <c r="S27" s="33">
        <f t="shared" si="7"/>
        <v>963.70934364779623</v>
      </c>
      <c r="T27" s="29">
        <f t="shared" si="8"/>
        <v>61802.963592082211</v>
      </c>
      <c r="U27" s="72">
        <f>(G17+H17+I17+J17+G26+H26+I26+J26+G27+H27+I27+J27)</f>
        <v>2403.8000000000002</v>
      </c>
      <c r="V27" s="78">
        <v>88</v>
      </c>
      <c r="W27" s="33">
        <f t="shared" si="9"/>
        <v>211534.40000000002</v>
      </c>
      <c r="X27" s="78">
        <v>9.64</v>
      </c>
      <c r="Y27" s="33">
        <f t="shared" si="10"/>
        <v>23172.632000000001</v>
      </c>
      <c r="Z27" s="33">
        <f t="shared" si="11"/>
        <v>234707.03200000004</v>
      </c>
      <c r="AA27" s="78">
        <f t="shared" si="12"/>
        <v>2347.0703200000003</v>
      </c>
      <c r="AB27" s="33">
        <f t="shared" si="13"/>
        <v>20462.82860427169</v>
      </c>
      <c r="AC27" s="33">
        <f t="shared" si="14"/>
        <v>204.62828604271687</v>
      </c>
      <c r="AD27" s="29">
        <f t="shared" si="15"/>
        <v>20667.456890314406</v>
      </c>
    </row>
    <row r="28" spans="1:30" x14ac:dyDescent="0.4">
      <c r="A28" s="225"/>
      <c r="B28" s="235"/>
      <c r="C28" s="246"/>
      <c r="D28" s="246" t="s">
        <v>85</v>
      </c>
      <c r="E28" s="23" t="s">
        <v>96</v>
      </c>
      <c r="F28" s="23">
        <v>30</v>
      </c>
      <c r="G28" s="7">
        <v>0</v>
      </c>
      <c r="H28" s="7">
        <v>712.8</v>
      </c>
      <c r="I28" s="7">
        <v>0</v>
      </c>
      <c r="J28" s="7">
        <v>0</v>
      </c>
      <c r="K28" s="34" t="s">
        <v>50</v>
      </c>
      <c r="L28" s="34" t="s">
        <v>50</v>
      </c>
      <c r="M28" s="79" t="s">
        <v>50</v>
      </c>
      <c r="N28" s="34" t="s">
        <v>50</v>
      </c>
      <c r="O28" s="79" t="s">
        <v>50</v>
      </c>
      <c r="P28" s="79" t="s">
        <v>50</v>
      </c>
      <c r="Q28" s="34" t="s">
        <v>50</v>
      </c>
      <c r="R28" s="34" t="s">
        <v>50</v>
      </c>
      <c r="S28" s="34" t="s">
        <v>50</v>
      </c>
      <c r="T28" s="15" t="s">
        <v>50</v>
      </c>
      <c r="U28" s="34" t="s">
        <v>50</v>
      </c>
      <c r="V28" s="79" t="s">
        <v>50</v>
      </c>
      <c r="W28" s="34" t="s">
        <v>50</v>
      </c>
      <c r="X28" s="79" t="s">
        <v>50</v>
      </c>
      <c r="Y28" s="34" t="s">
        <v>50</v>
      </c>
      <c r="Z28" s="34" t="s">
        <v>50</v>
      </c>
      <c r="AA28" s="79" t="s">
        <v>50</v>
      </c>
      <c r="AB28" s="34" t="s">
        <v>50</v>
      </c>
      <c r="AC28" s="34" t="s">
        <v>50</v>
      </c>
      <c r="AD28" s="15" t="s">
        <v>50</v>
      </c>
    </row>
    <row r="29" spans="1:30" x14ac:dyDescent="0.4">
      <c r="A29" s="225"/>
      <c r="B29" s="235"/>
      <c r="C29" s="246"/>
      <c r="D29" s="246"/>
      <c r="E29" s="23" t="s">
        <v>102</v>
      </c>
      <c r="F29" s="23">
        <v>0</v>
      </c>
      <c r="G29" s="7">
        <v>0</v>
      </c>
      <c r="H29" s="8">
        <v>10.5</v>
      </c>
      <c r="I29" s="7">
        <v>5.25</v>
      </c>
      <c r="J29" s="7">
        <v>5.25</v>
      </c>
      <c r="K29" s="73">
        <f>(G17+H17+I17+J17+G28+H28+I28+J28+G29+H29+I29+J29)</f>
        <v>2403.8000000000002</v>
      </c>
      <c r="L29" s="73">
        <f t="shared" si="0"/>
        <v>265.90673439594218</v>
      </c>
      <c r="M29" s="79">
        <f t="shared" si="1"/>
        <v>24.3925638925197</v>
      </c>
      <c r="N29" s="34">
        <f t="shared" si="2"/>
        <v>697821.45322580473</v>
      </c>
      <c r="O29" s="79">
        <f t="shared" si="3"/>
        <v>9587.7991221144875</v>
      </c>
      <c r="P29" s="79">
        <f t="shared" si="4"/>
        <v>1465.8711271209716</v>
      </c>
      <c r="Q29" s="34">
        <f t="shared" si="5"/>
        <v>11053.67024923546</v>
      </c>
      <c r="R29" s="34">
        <f t="shared" si="6"/>
        <v>60839.254248434416</v>
      </c>
      <c r="S29" s="34">
        <f t="shared" si="7"/>
        <v>963.70934364779623</v>
      </c>
      <c r="T29" s="15">
        <f t="shared" si="8"/>
        <v>61802.963592082211</v>
      </c>
      <c r="U29" s="73">
        <f>(G17+H17+I17+J17+G28+H28+I28+J28+G29+H29+I29+J29)</f>
        <v>2403.8000000000002</v>
      </c>
      <c r="V29" s="79">
        <v>88</v>
      </c>
      <c r="W29" s="34">
        <f t="shared" si="9"/>
        <v>211534.40000000002</v>
      </c>
      <c r="X29" s="79">
        <v>9.64</v>
      </c>
      <c r="Y29" s="34">
        <f t="shared" si="10"/>
        <v>23172.632000000001</v>
      </c>
      <c r="Z29" s="34">
        <f t="shared" si="11"/>
        <v>234707.03200000004</v>
      </c>
      <c r="AA29" s="79">
        <f t="shared" si="12"/>
        <v>2347.0703200000003</v>
      </c>
      <c r="AB29" s="34">
        <f t="shared" si="13"/>
        <v>20462.82860427169</v>
      </c>
      <c r="AC29" s="34">
        <f t="shared" si="14"/>
        <v>204.62828604271687</v>
      </c>
      <c r="AD29" s="15">
        <f t="shared" si="15"/>
        <v>20667.456890314406</v>
      </c>
    </row>
    <row r="30" spans="1:30" x14ac:dyDescent="0.4">
      <c r="A30" s="225"/>
      <c r="B30" s="235"/>
      <c r="C30" s="246"/>
      <c r="D30" s="247" t="s">
        <v>86</v>
      </c>
      <c r="E30" s="32" t="s">
        <v>97</v>
      </c>
      <c r="F30" s="32">
        <v>30</v>
      </c>
      <c r="G30" s="27">
        <v>0</v>
      </c>
      <c r="H30" s="27">
        <v>1140.48</v>
      </c>
      <c r="I30" s="27">
        <v>0</v>
      </c>
      <c r="J30" s="27">
        <v>0</v>
      </c>
      <c r="K30" s="33" t="s">
        <v>50</v>
      </c>
      <c r="L30" s="33" t="s">
        <v>50</v>
      </c>
      <c r="M30" s="78" t="s">
        <v>50</v>
      </c>
      <c r="N30" s="33" t="s">
        <v>50</v>
      </c>
      <c r="O30" s="78" t="s">
        <v>50</v>
      </c>
      <c r="P30" s="78" t="s">
        <v>50</v>
      </c>
      <c r="Q30" s="33" t="s">
        <v>50</v>
      </c>
      <c r="R30" s="33" t="s">
        <v>50</v>
      </c>
      <c r="S30" s="33" t="s">
        <v>50</v>
      </c>
      <c r="T30" s="29" t="s">
        <v>50</v>
      </c>
      <c r="U30" s="33" t="s">
        <v>50</v>
      </c>
      <c r="V30" s="78" t="s">
        <v>50</v>
      </c>
      <c r="W30" s="33" t="s">
        <v>50</v>
      </c>
      <c r="X30" s="78" t="s">
        <v>50</v>
      </c>
      <c r="Y30" s="33" t="s">
        <v>50</v>
      </c>
      <c r="Z30" s="33" t="s">
        <v>50</v>
      </c>
      <c r="AA30" s="78" t="s">
        <v>50</v>
      </c>
      <c r="AB30" s="33" t="s">
        <v>50</v>
      </c>
      <c r="AC30" s="33" t="s">
        <v>50</v>
      </c>
      <c r="AD30" s="29" t="s">
        <v>50</v>
      </c>
    </row>
    <row r="31" spans="1:30" x14ac:dyDescent="0.4">
      <c r="A31" s="225"/>
      <c r="B31" s="235"/>
      <c r="C31" s="246"/>
      <c r="D31" s="247"/>
      <c r="E31" s="32" t="s">
        <v>100</v>
      </c>
      <c r="F31" s="32">
        <v>60</v>
      </c>
      <c r="G31" s="27">
        <v>0</v>
      </c>
      <c r="H31" s="28">
        <v>10.5</v>
      </c>
      <c r="I31" s="27">
        <v>5.25</v>
      </c>
      <c r="J31" s="27">
        <v>5.25</v>
      </c>
      <c r="K31" s="72">
        <f>(G17+H17+I17+J17+G30+H30+I30+J30+G31+H31+I31+J31)</f>
        <v>2831.48</v>
      </c>
      <c r="L31" s="72">
        <f t="shared" si="0"/>
        <v>260.09307478658349</v>
      </c>
      <c r="M31" s="78">
        <f t="shared" si="1"/>
        <v>21.765131461222818</v>
      </c>
      <c r="N31" s="33">
        <f t="shared" si="2"/>
        <v>798075.87382653868</v>
      </c>
      <c r="O31" s="78">
        <f t="shared" si="3"/>
        <v>11046.725090950731</v>
      </c>
      <c r="P31" s="78">
        <f t="shared" si="4"/>
        <v>1540.6883607455798</v>
      </c>
      <c r="Q31" s="33">
        <f t="shared" si="5"/>
        <v>12587.413451696311</v>
      </c>
      <c r="R31" s="33">
        <f t="shared" si="6"/>
        <v>69579.891493480332</v>
      </c>
      <c r="S31" s="33">
        <f t="shared" si="7"/>
        <v>1097.4280652706029</v>
      </c>
      <c r="T31" s="29">
        <f t="shared" si="8"/>
        <v>70677.31955875094</v>
      </c>
      <c r="U31" s="72">
        <f>(G17+H17+I17+J17+G30+H30+I30+J30+G31+H31+I31+J31)</f>
        <v>2831.48</v>
      </c>
      <c r="V31" s="78">
        <v>88</v>
      </c>
      <c r="W31" s="33">
        <f t="shared" si="9"/>
        <v>249170.24</v>
      </c>
      <c r="X31" s="78">
        <v>9.64</v>
      </c>
      <c r="Y31" s="33">
        <f t="shared" si="10"/>
        <v>27295.467200000003</v>
      </c>
      <c r="Z31" s="33">
        <f t="shared" si="11"/>
        <v>276465.7072</v>
      </c>
      <c r="AA31" s="78">
        <f t="shared" si="12"/>
        <v>2764.657072</v>
      </c>
      <c r="AB31" s="33">
        <f t="shared" si="13"/>
        <v>24103.540201523916</v>
      </c>
      <c r="AC31" s="33">
        <f t="shared" si="14"/>
        <v>241.03540201523916</v>
      </c>
      <c r="AD31" s="29">
        <f t="shared" si="15"/>
        <v>24344.575603539157</v>
      </c>
    </row>
    <row r="32" spans="1:30" x14ac:dyDescent="0.4">
      <c r="A32" s="225"/>
      <c r="B32" s="235"/>
      <c r="C32" s="246"/>
      <c r="D32" s="246" t="s">
        <v>87</v>
      </c>
      <c r="E32" s="23" t="s">
        <v>97</v>
      </c>
      <c r="F32" s="23">
        <v>30</v>
      </c>
      <c r="G32" s="7">
        <v>0</v>
      </c>
      <c r="H32" s="7">
        <v>1140.48</v>
      </c>
      <c r="I32" s="7">
        <v>0</v>
      </c>
      <c r="J32" s="7">
        <v>0</v>
      </c>
      <c r="K32" s="34" t="s">
        <v>50</v>
      </c>
      <c r="L32" s="34" t="s">
        <v>50</v>
      </c>
      <c r="M32" s="79" t="s">
        <v>50</v>
      </c>
      <c r="N32" s="34" t="s">
        <v>50</v>
      </c>
      <c r="O32" s="79" t="s">
        <v>50</v>
      </c>
      <c r="P32" s="79" t="s">
        <v>50</v>
      </c>
      <c r="Q32" s="34" t="s">
        <v>50</v>
      </c>
      <c r="R32" s="34" t="s">
        <v>50</v>
      </c>
      <c r="S32" s="34" t="s">
        <v>50</v>
      </c>
      <c r="T32" s="15" t="s">
        <v>50</v>
      </c>
      <c r="U32" s="34" t="s">
        <v>50</v>
      </c>
      <c r="V32" s="79" t="s">
        <v>50</v>
      </c>
      <c r="W32" s="34" t="s">
        <v>50</v>
      </c>
      <c r="X32" s="79" t="s">
        <v>50</v>
      </c>
      <c r="Y32" s="34" t="s">
        <v>50</v>
      </c>
      <c r="Z32" s="34" t="s">
        <v>50</v>
      </c>
      <c r="AA32" s="79" t="s">
        <v>50</v>
      </c>
      <c r="AB32" s="34" t="s">
        <v>50</v>
      </c>
      <c r="AC32" s="34" t="s">
        <v>50</v>
      </c>
      <c r="AD32" s="15" t="s">
        <v>50</v>
      </c>
    </row>
    <row r="33" spans="1:30" x14ac:dyDescent="0.4">
      <c r="A33" s="225"/>
      <c r="B33" s="235"/>
      <c r="C33" s="246"/>
      <c r="D33" s="246"/>
      <c r="E33" s="23" t="s">
        <v>101</v>
      </c>
      <c r="F33" s="23">
        <v>30</v>
      </c>
      <c r="G33" s="7">
        <v>0</v>
      </c>
      <c r="H33" s="8">
        <v>10.5</v>
      </c>
      <c r="I33" s="7">
        <v>5.25</v>
      </c>
      <c r="J33" s="7">
        <v>5.25</v>
      </c>
      <c r="K33" s="73">
        <f>(G17+H17+I17+J17+G32+H32+I32+J32+G33+H33+I33+J33)</f>
        <v>2831.48</v>
      </c>
      <c r="L33" s="73">
        <f t="shared" si="0"/>
        <v>260.09307478658349</v>
      </c>
      <c r="M33" s="79">
        <f t="shared" si="1"/>
        <v>21.765131461222818</v>
      </c>
      <c r="N33" s="34">
        <f t="shared" si="2"/>
        <v>798075.87382653868</v>
      </c>
      <c r="O33" s="79">
        <f t="shared" si="3"/>
        <v>11046.725090950731</v>
      </c>
      <c r="P33" s="79">
        <f t="shared" si="4"/>
        <v>1540.6883607455798</v>
      </c>
      <c r="Q33" s="34">
        <f t="shared" si="5"/>
        <v>12587.413451696311</v>
      </c>
      <c r="R33" s="34">
        <f t="shared" si="6"/>
        <v>69579.891493480332</v>
      </c>
      <c r="S33" s="34">
        <f t="shared" si="7"/>
        <v>1097.4280652706029</v>
      </c>
      <c r="T33" s="15">
        <f t="shared" si="8"/>
        <v>70677.31955875094</v>
      </c>
      <c r="U33" s="73">
        <f>(G17+H17+I17+J17+G32+H32+I32+J32+G33+H33+I33+J33)</f>
        <v>2831.48</v>
      </c>
      <c r="V33" s="79">
        <v>88</v>
      </c>
      <c r="W33" s="34">
        <f t="shared" si="9"/>
        <v>249170.24</v>
      </c>
      <c r="X33" s="79">
        <v>9.64</v>
      </c>
      <c r="Y33" s="34">
        <f t="shared" si="10"/>
        <v>27295.467200000003</v>
      </c>
      <c r="Z33" s="34">
        <f t="shared" si="11"/>
        <v>276465.7072</v>
      </c>
      <c r="AA33" s="79">
        <f t="shared" si="12"/>
        <v>2764.657072</v>
      </c>
      <c r="AB33" s="34">
        <f t="shared" si="13"/>
        <v>24103.540201523916</v>
      </c>
      <c r="AC33" s="34">
        <f t="shared" si="14"/>
        <v>241.03540201523916</v>
      </c>
      <c r="AD33" s="15">
        <f t="shared" si="15"/>
        <v>24344.575603539157</v>
      </c>
    </row>
    <row r="34" spans="1:30" x14ac:dyDescent="0.4">
      <c r="A34" s="225"/>
      <c r="B34" s="235"/>
      <c r="C34" s="246"/>
      <c r="D34" s="247" t="s">
        <v>88</v>
      </c>
      <c r="E34" s="32" t="s">
        <v>97</v>
      </c>
      <c r="F34" s="32">
        <v>30</v>
      </c>
      <c r="G34" s="27">
        <v>0</v>
      </c>
      <c r="H34" s="27">
        <v>1140.48</v>
      </c>
      <c r="I34" s="27">
        <v>0</v>
      </c>
      <c r="J34" s="27">
        <v>0</v>
      </c>
      <c r="K34" s="33" t="s">
        <v>50</v>
      </c>
      <c r="L34" s="33" t="s">
        <v>50</v>
      </c>
      <c r="M34" s="78" t="s">
        <v>50</v>
      </c>
      <c r="N34" s="33" t="s">
        <v>50</v>
      </c>
      <c r="O34" s="78" t="s">
        <v>50</v>
      </c>
      <c r="P34" s="78" t="s">
        <v>50</v>
      </c>
      <c r="Q34" s="33" t="s">
        <v>50</v>
      </c>
      <c r="R34" s="33" t="s">
        <v>50</v>
      </c>
      <c r="S34" s="33" t="s">
        <v>50</v>
      </c>
      <c r="T34" s="29" t="s">
        <v>50</v>
      </c>
      <c r="U34" s="33" t="s">
        <v>50</v>
      </c>
      <c r="V34" s="78" t="s">
        <v>50</v>
      </c>
      <c r="W34" s="33" t="s">
        <v>50</v>
      </c>
      <c r="X34" s="78" t="s">
        <v>50</v>
      </c>
      <c r="Y34" s="33" t="s">
        <v>50</v>
      </c>
      <c r="Z34" s="33" t="s">
        <v>50</v>
      </c>
      <c r="AA34" s="78" t="s">
        <v>50</v>
      </c>
      <c r="AB34" s="33" t="s">
        <v>50</v>
      </c>
      <c r="AC34" s="33" t="s">
        <v>50</v>
      </c>
      <c r="AD34" s="29" t="s">
        <v>50</v>
      </c>
    </row>
    <row r="35" spans="1:30" x14ac:dyDescent="0.4">
      <c r="A35" s="225"/>
      <c r="B35" s="235"/>
      <c r="C35" s="246"/>
      <c r="D35" s="247"/>
      <c r="E35" s="32" t="s">
        <v>102</v>
      </c>
      <c r="F35" s="32">
        <v>0</v>
      </c>
      <c r="G35" s="27">
        <v>0</v>
      </c>
      <c r="H35" s="28">
        <v>10.5</v>
      </c>
      <c r="I35" s="27">
        <v>5.25</v>
      </c>
      <c r="J35" s="27">
        <v>5.25</v>
      </c>
      <c r="K35" s="72">
        <f>(G17+H17+I17+J17+G34+H34+I34+J34+G35+H35+I35+J35)</f>
        <v>2831.48</v>
      </c>
      <c r="L35" s="72">
        <f t="shared" si="0"/>
        <v>260.09307478658349</v>
      </c>
      <c r="M35" s="78">
        <f t="shared" si="1"/>
        <v>21.765131461222818</v>
      </c>
      <c r="N35" s="33">
        <f t="shared" si="2"/>
        <v>798075.87382653868</v>
      </c>
      <c r="O35" s="78">
        <f t="shared" si="3"/>
        <v>11046.725090950731</v>
      </c>
      <c r="P35" s="78">
        <f t="shared" si="4"/>
        <v>1540.6883607455798</v>
      </c>
      <c r="Q35" s="33">
        <f t="shared" si="5"/>
        <v>12587.413451696311</v>
      </c>
      <c r="R35" s="33">
        <f t="shared" si="6"/>
        <v>69579.891493480332</v>
      </c>
      <c r="S35" s="33">
        <f t="shared" si="7"/>
        <v>1097.4280652706029</v>
      </c>
      <c r="T35" s="29">
        <f t="shared" si="8"/>
        <v>70677.31955875094</v>
      </c>
      <c r="U35" s="72">
        <f>(G17+H17+I17+J17+G34+H34+I34+J34+G35+H35+I35+J35)</f>
        <v>2831.48</v>
      </c>
      <c r="V35" s="78">
        <v>88</v>
      </c>
      <c r="W35" s="33">
        <f t="shared" si="9"/>
        <v>249170.24</v>
      </c>
      <c r="X35" s="78">
        <v>9.64</v>
      </c>
      <c r="Y35" s="33">
        <f t="shared" si="10"/>
        <v>27295.467200000003</v>
      </c>
      <c r="Z35" s="33">
        <f t="shared" si="11"/>
        <v>276465.7072</v>
      </c>
      <c r="AA35" s="78">
        <f t="shared" si="12"/>
        <v>2764.657072</v>
      </c>
      <c r="AB35" s="33">
        <f t="shared" si="13"/>
        <v>24103.540201523916</v>
      </c>
      <c r="AC35" s="33">
        <f t="shared" si="14"/>
        <v>241.03540201523916</v>
      </c>
      <c r="AD35" s="29">
        <f t="shared" si="15"/>
        <v>24344.575603539157</v>
      </c>
    </row>
    <row r="36" spans="1:30" x14ac:dyDescent="0.4">
      <c r="A36" s="225"/>
      <c r="B36" s="235"/>
      <c r="C36" s="246"/>
      <c r="D36" s="246" t="s">
        <v>89</v>
      </c>
      <c r="E36" s="23" t="s">
        <v>98</v>
      </c>
      <c r="F36" s="23">
        <v>30</v>
      </c>
      <c r="G36" s="7">
        <v>0</v>
      </c>
      <c r="H36" s="7">
        <v>1425.6</v>
      </c>
      <c r="I36" s="7">
        <v>0</v>
      </c>
      <c r="J36" s="7">
        <v>0</v>
      </c>
      <c r="K36" s="34" t="s">
        <v>50</v>
      </c>
      <c r="L36" s="34" t="s">
        <v>50</v>
      </c>
      <c r="M36" s="79" t="s">
        <v>50</v>
      </c>
      <c r="N36" s="34" t="s">
        <v>50</v>
      </c>
      <c r="O36" s="79" t="s">
        <v>50</v>
      </c>
      <c r="P36" s="79" t="s">
        <v>50</v>
      </c>
      <c r="Q36" s="34" t="s">
        <v>50</v>
      </c>
      <c r="R36" s="34" t="s">
        <v>50</v>
      </c>
      <c r="S36" s="34" t="s">
        <v>50</v>
      </c>
      <c r="T36" s="15" t="s">
        <v>50</v>
      </c>
      <c r="U36" s="34" t="s">
        <v>50</v>
      </c>
      <c r="V36" s="79" t="s">
        <v>50</v>
      </c>
      <c r="W36" s="34" t="s">
        <v>50</v>
      </c>
      <c r="X36" s="79" t="s">
        <v>50</v>
      </c>
      <c r="Y36" s="34" t="s">
        <v>50</v>
      </c>
      <c r="Z36" s="34" t="s">
        <v>50</v>
      </c>
      <c r="AA36" s="79" t="s">
        <v>50</v>
      </c>
      <c r="AB36" s="34" t="s">
        <v>50</v>
      </c>
      <c r="AC36" s="34" t="s">
        <v>50</v>
      </c>
      <c r="AD36" s="15" t="s">
        <v>50</v>
      </c>
    </row>
    <row r="37" spans="1:30" x14ac:dyDescent="0.4">
      <c r="A37" s="225"/>
      <c r="B37" s="235"/>
      <c r="C37" s="246"/>
      <c r="D37" s="246"/>
      <c r="E37" s="23" t="s">
        <v>100</v>
      </c>
      <c r="F37" s="23">
        <v>60</v>
      </c>
      <c r="G37" s="7">
        <v>0</v>
      </c>
      <c r="H37" s="8">
        <v>10.5</v>
      </c>
      <c r="I37" s="7">
        <v>5.25</v>
      </c>
      <c r="J37" s="7">
        <v>5.25</v>
      </c>
      <c r="K37" s="74">
        <f>(G17+H17+I17+J17+G36+H36+I36+J36+G37+H37+I37+J37)</f>
        <v>3116.6</v>
      </c>
      <c r="L37" s="74">
        <f t="shared" si="0"/>
        <v>256.74598876892873</v>
      </c>
      <c r="M37" s="69">
        <f t="shared" si="1"/>
        <v>20.359198059871176</v>
      </c>
      <c r="N37" s="67">
        <f t="shared" si="2"/>
        <v>863626.02527063771</v>
      </c>
      <c r="O37" s="69">
        <f t="shared" si="3"/>
        <v>12002.618228958649</v>
      </c>
      <c r="P37" s="69">
        <f t="shared" si="4"/>
        <v>1586.2869168348627</v>
      </c>
      <c r="Q37" s="67">
        <f t="shared" si="5"/>
        <v>13588.905145793511</v>
      </c>
      <c r="R37" s="67">
        <f t="shared" si="6"/>
        <v>75294.852406899619</v>
      </c>
      <c r="S37" s="67">
        <f t="shared" si="7"/>
        <v>1184.7426749364636</v>
      </c>
      <c r="T37" s="80">
        <f t="shared" si="8"/>
        <v>76479.595081836087</v>
      </c>
      <c r="U37" s="73">
        <f>(G17+H17+I17+J17+G36+H36+I36+J36+G37+H37+I37+J37)</f>
        <v>3116.6</v>
      </c>
      <c r="V37" s="79">
        <v>88</v>
      </c>
      <c r="W37" s="34">
        <f t="shared" si="9"/>
        <v>274260.8</v>
      </c>
      <c r="X37" s="79">
        <v>9.64</v>
      </c>
      <c r="Y37" s="34">
        <f t="shared" si="10"/>
        <v>30044.024000000001</v>
      </c>
      <c r="Z37" s="34">
        <f t="shared" si="11"/>
        <v>304304.82399999996</v>
      </c>
      <c r="AA37" s="79">
        <f t="shared" si="12"/>
        <v>3043.0482399999996</v>
      </c>
      <c r="AB37" s="34">
        <f t="shared" si="13"/>
        <v>26530.681266358733</v>
      </c>
      <c r="AC37" s="34">
        <f t="shared" si="14"/>
        <v>265.30681266358732</v>
      </c>
      <c r="AD37" s="15">
        <f t="shared" si="15"/>
        <v>26795.988079022321</v>
      </c>
    </row>
    <row r="38" spans="1:30" x14ac:dyDescent="0.4">
      <c r="A38" s="225"/>
      <c r="B38" s="235"/>
      <c r="C38" s="246"/>
      <c r="D38" s="247" t="s">
        <v>90</v>
      </c>
      <c r="E38" s="32" t="s">
        <v>98</v>
      </c>
      <c r="F38" s="32">
        <v>30</v>
      </c>
      <c r="G38" s="27">
        <v>0</v>
      </c>
      <c r="H38" s="27">
        <v>1425.6</v>
      </c>
      <c r="I38" s="27">
        <v>0</v>
      </c>
      <c r="J38" s="27">
        <v>0</v>
      </c>
      <c r="K38" s="33" t="s">
        <v>50</v>
      </c>
      <c r="L38" s="33" t="s">
        <v>50</v>
      </c>
      <c r="M38" s="78" t="s">
        <v>50</v>
      </c>
      <c r="N38" s="33" t="s">
        <v>50</v>
      </c>
      <c r="O38" s="78" t="s">
        <v>50</v>
      </c>
      <c r="P38" s="78" t="s">
        <v>50</v>
      </c>
      <c r="Q38" s="33" t="s">
        <v>50</v>
      </c>
      <c r="R38" s="33" t="s">
        <v>50</v>
      </c>
      <c r="S38" s="33" t="s">
        <v>50</v>
      </c>
      <c r="T38" s="29" t="s">
        <v>50</v>
      </c>
      <c r="U38" s="35" t="s">
        <v>50</v>
      </c>
      <c r="V38" s="78" t="s">
        <v>50</v>
      </c>
      <c r="W38" s="33" t="s">
        <v>50</v>
      </c>
      <c r="X38" s="78" t="s">
        <v>50</v>
      </c>
      <c r="Y38" s="33" t="s">
        <v>50</v>
      </c>
      <c r="Z38" s="33" t="s">
        <v>50</v>
      </c>
      <c r="AA38" s="78" t="s">
        <v>50</v>
      </c>
      <c r="AB38" s="33" t="s">
        <v>50</v>
      </c>
      <c r="AC38" s="33" t="s">
        <v>50</v>
      </c>
      <c r="AD38" s="29" t="s">
        <v>50</v>
      </c>
    </row>
    <row r="39" spans="1:30" x14ac:dyDescent="0.4">
      <c r="A39" s="225"/>
      <c r="B39" s="235"/>
      <c r="C39" s="246"/>
      <c r="D39" s="247"/>
      <c r="E39" s="32" t="s">
        <v>101</v>
      </c>
      <c r="F39" s="32">
        <v>30</v>
      </c>
      <c r="G39" s="27">
        <v>0</v>
      </c>
      <c r="H39" s="28">
        <v>10.5</v>
      </c>
      <c r="I39" s="27">
        <v>5.25</v>
      </c>
      <c r="J39" s="27">
        <v>5.25</v>
      </c>
      <c r="K39" s="74">
        <f>(G17+H17+I17+J17+G38+H38+I38+J38+G39+H39+I39+J39)</f>
        <v>3116.6</v>
      </c>
      <c r="L39" s="74">
        <f t="shared" si="0"/>
        <v>256.74598876892873</v>
      </c>
      <c r="M39" s="69">
        <f t="shared" si="1"/>
        <v>20.359198059871176</v>
      </c>
      <c r="N39" s="67">
        <f t="shared" si="2"/>
        <v>863626.02527063771</v>
      </c>
      <c r="O39" s="69">
        <f t="shared" si="3"/>
        <v>12002.618228958649</v>
      </c>
      <c r="P39" s="69">
        <f t="shared" si="4"/>
        <v>1586.2869168348627</v>
      </c>
      <c r="Q39" s="67">
        <f t="shared" si="5"/>
        <v>13588.905145793511</v>
      </c>
      <c r="R39" s="67">
        <f t="shared" si="6"/>
        <v>75294.852406899619</v>
      </c>
      <c r="S39" s="67">
        <f t="shared" si="7"/>
        <v>1184.7426749364636</v>
      </c>
      <c r="T39" s="80">
        <f t="shared" si="8"/>
        <v>76479.595081836087</v>
      </c>
      <c r="U39" s="72">
        <f>(G17+H17+I17+J17+G38+H38+I38+J38+G39+H39+I39+J39)</f>
        <v>3116.6</v>
      </c>
      <c r="V39" s="78">
        <v>88</v>
      </c>
      <c r="W39" s="33">
        <f t="shared" si="9"/>
        <v>274260.8</v>
      </c>
      <c r="X39" s="78">
        <v>9.64</v>
      </c>
      <c r="Y39" s="33">
        <f t="shared" si="10"/>
        <v>30044.024000000001</v>
      </c>
      <c r="Z39" s="33">
        <f t="shared" si="11"/>
        <v>304304.82399999996</v>
      </c>
      <c r="AA39" s="78">
        <f t="shared" si="12"/>
        <v>3043.0482399999996</v>
      </c>
      <c r="AB39" s="33">
        <f t="shared" si="13"/>
        <v>26530.681266358733</v>
      </c>
      <c r="AC39" s="33">
        <f t="shared" si="14"/>
        <v>265.30681266358732</v>
      </c>
      <c r="AD39" s="29">
        <f t="shared" si="15"/>
        <v>26795.988079022321</v>
      </c>
    </row>
    <row r="40" spans="1:30" x14ac:dyDescent="0.4">
      <c r="A40" s="225"/>
      <c r="B40" s="235"/>
      <c r="C40" s="246"/>
      <c r="D40" s="246" t="s">
        <v>91</v>
      </c>
      <c r="E40" s="23" t="s">
        <v>98</v>
      </c>
      <c r="F40" s="23">
        <v>30</v>
      </c>
      <c r="G40" s="7">
        <v>0</v>
      </c>
      <c r="H40" s="7">
        <v>1425.6</v>
      </c>
      <c r="I40" s="7">
        <v>0</v>
      </c>
      <c r="J40" s="7">
        <v>0</v>
      </c>
      <c r="K40" s="34" t="s">
        <v>50</v>
      </c>
      <c r="L40" s="34" t="s">
        <v>50</v>
      </c>
      <c r="M40" s="79" t="s">
        <v>50</v>
      </c>
      <c r="N40" s="34" t="s">
        <v>50</v>
      </c>
      <c r="O40" s="79" t="s">
        <v>50</v>
      </c>
      <c r="P40" s="79" t="s">
        <v>50</v>
      </c>
      <c r="Q40" s="34" t="s">
        <v>50</v>
      </c>
      <c r="R40" s="34" t="s">
        <v>50</v>
      </c>
      <c r="S40" s="34" t="s">
        <v>50</v>
      </c>
      <c r="T40" s="15" t="s">
        <v>50</v>
      </c>
      <c r="U40" s="34" t="s">
        <v>50</v>
      </c>
      <c r="V40" s="79" t="s">
        <v>50</v>
      </c>
      <c r="W40" s="34" t="s">
        <v>50</v>
      </c>
      <c r="X40" s="79" t="s">
        <v>50</v>
      </c>
      <c r="Y40" s="34" t="s">
        <v>50</v>
      </c>
      <c r="Z40" s="34" t="s">
        <v>50</v>
      </c>
      <c r="AA40" s="79" t="s">
        <v>50</v>
      </c>
      <c r="AB40" s="34" t="s">
        <v>50</v>
      </c>
      <c r="AC40" s="34" t="s">
        <v>50</v>
      </c>
      <c r="AD40" s="15" t="s">
        <v>50</v>
      </c>
    </row>
    <row r="41" spans="1:30" x14ac:dyDescent="0.4">
      <c r="A41" s="225"/>
      <c r="B41" s="235"/>
      <c r="C41" s="246"/>
      <c r="D41" s="246"/>
      <c r="E41" s="23" t="s">
        <v>102</v>
      </c>
      <c r="F41" s="23">
        <v>0</v>
      </c>
      <c r="G41" s="7">
        <v>0</v>
      </c>
      <c r="H41" s="8">
        <v>10.5</v>
      </c>
      <c r="I41" s="7">
        <v>5.25</v>
      </c>
      <c r="J41" s="7">
        <v>5.25</v>
      </c>
      <c r="K41" s="74">
        <f>(G17+H17+I17+J17+G40+H40+I40+J40+G41+H41+I41+J41)</f>
        <v>3116.6</v>
      </c>
      <c r="L41" s="74">
        <f t="shared" si="0"/>
        <v>256.74598876892873</v>
      </c>
      <c r="M41" s="69">
        <f t="shared" si="1"/>
        <v>20.359198059871176</v>
      </c>
      <c r="N41" s="67">
        <f t="shared" si="2"/>
        <v>863626.02527063771</v>
      </c>
      <c r="O41" s="69">
        <f t="shared" si="3"/>
        <v>12002.618228958649</v>
      </c>
      <c r="P41" s="69">
        <f t="shared" si="4"/>
        <v>1586.2869168348627</v>
      </c>
      <c r="Q41" s="67">
        <f t="shared" si="5"/>
        <v>13588.905145793511</v>
      </c>
      <c r="R41" s="67">
        <f t="shared" si="6"/>
        <v>75294.852406899619</v>
      </c>
      <c r="S41" s="67">
        <f t="shared" si="7"/>
        <v>1184.7426749364636</v>
      </c>
      <c r="T41" s="80">
        <f t="shared" si="8"/>
        <v>76479.595081836087</v>
      </c>
      <c r="U41" s="73">
        <f>(G17+H17+I17+J17+G40+H40+I40+J40+G41+H41+I41+J41)</f>
        <v>3116.6</v>
      </c>
      <c r="V41" s="79">
        <v>88</v>
      </c>
      <c r="W41" s="34">
        <f t="shared" si="9"/>
        <v>274260.8</v>
      </c>
      <c r="X41" s="79">
        <v>9.64</v>
      </c>
      <c r="Y41" s="34">
        <f t="shared" si="10"/>
        <v>30044.024000000001</v>
      </c>
      <c r="Z41" s="34">
        <f t="shared" si="11"/>
        <v>304304.82399999996</v>
      </c>
      <c r="AA41" s="79">
        <f t="shared" si="12"/>
        <v>3043.0482399999996</v>
      </c>
      <c r="AB41" s="34">
        <f t="shared" si="13"/>
        <v>26530.681266358733</v>
      </c>
      <c r="AC41" s="34">
        <f t="shared" si="14"/>
        <v>265.30681266358732</v>
      </c>
      <c r="AD41" s="15">
        <f t="shared" si="15"/>
        <v>26795.988079022321</v>
      </c>
    </row>
    <row r="42" spans="1:30" x14ac:dyDescent="0.4">
      <c r="A42" s="225"/>
      <c r="B42" s="235"/>
      <c r="C42" s="246"/>
      <c r="D42" s="247" t="s">
        <v>92</v>
      </c>
      <c r="E42" s="32" t="s">
        <v>99</v>
      </c>
      <c r="F42" s="32">
        <v>30</v>
      </c>
      <c r="G42" s="27">
        <v>0</v>
      </c>
      <c r="H42" s="27">
        <v>1710.72</v>
      </c>
      <c r="I42" s="27">
        <v>0</v>
      </c>
      <c r="J42" s="27">
        <v>0</v>
      </c>
      <c r="K42" s="33" t="s">
        <v>50</v>
      </c>
      <c r="L42" s="33" t="s">
        <v>50</v>
      </c>
      <c r="M42" s="78" t="s">
        <v>50</v>
      </c>
      <c r="N42" s="33" t="s">
        <v>50</v>
      </c>
      <c r="O42" s="78" t="s">
        <v>50</v>
      </c>
      <c r="P42" s="78" t="s">
        <v>50</v>
      </c>
      <c r="Q42" s="33" t="s">
        <v>50</v>
      </c>
      <c r="R42" s="33" t="s">
        <v>50</v>
      </c>
      <c r="S42" s="33" t="s">
        <v>50</v>
      </c>
      <c r="T42" s="29" t="s">
        <v>50</v>
      </c>
      <c r="U42" s="33" t="s">
        <v>50</v>
      </c>
      <c r="V42" s="78" t="s">
        <v>50</v>
      </c>
      <c r="W42" s="33" t="s">
        <v>50</v>
      </c>
      <c r="X42" s="78" t="s">
        <v>50</v>
      </c>
      <c r="Y42" s="33" t="s">
        <v>50</v>
      </c>
      <c r="Z42" s="33" t="s">
        <v>50</v>
      </c>
      <c r="AA42" s="78" t="s">
        <v>50</v>
      </c>
      <c r="AB42" s="33" t="s">
        <v>50</v>
      </c>
      <c r="AC42" s="33" t="s">
        <v>50</v>
      </c>
      <c r="AD42" s="29" t="s">
        <v>50</v>
      </c>
    </row>
    <row r="43" spans="1:30" x14ac:dyDescent="0.4">
      <c r="A43" s="225"/>
      <c r="B43" s="235"/>
      <c r="C43" s="246"/>
      <c r="D43" s="247"/>
      <c r="E43" s="32" t="s">
        <v>100</v>
      </c>
      <c r="F43" s="32">
        <v>60</v>
      </c>
      <c r="G43" s="27">
        <v>0</v>
      </c>
      <c r="H43" s="28">
        <v>10.5</v>
      </c>
      <c r="I43" s="27">
        <v>5.25</v>
      </c>
      <c r="J43" s="27">
        <v>5.25</v>
      </c>
      <c r="K43" s="74">
        <f>(G17+H17+I17+J17+G42+H42+I42+J42+G43+H43+I43+J43)</f>
        <v>3401.7200000000003</v>
      </c>
      <c r="L43" s="74">
        <f t="shared" si="0"/>
        <v>253.72969948141036</v>
      </c>
      <c r="M43" s="69">
        <f t="shared" si="1"/>
        <v>19.155808614721451</v>
      </c>
      <c r="N43" s="67">
        <f t="shared" si="2"/>
        <v>928280.09060077369</v>
      </c>
      <c r="O43" s="69">
        <f t="shared" si="3"/>
        <v>12946.76089979855</v>
      </c>
      <c r="P43" s="69">
        <f t="shared" si="4"/>
        <v>1629.0674320217565</v>
      </c>
      <c r="Q43" s="67">
        <f t="shared" si="5"/>
        <v>14575.828331820307</v>
      </c>
      <c r="R43" s="67">
        <f t="shared" si="6"/>
        <v>80931.688449459936</v>
      </c>
      <c r="S43" s="67">
        <f t="shared" si="7"/>
        <v>1270.7871356803923</v>
      </c>
      <c r="T43" s="80">
        <f t="shared" si="8"/>
        <v>82202.475585140332</v>
      </c>
      <c r="U43" s="72">
        <f>(G17+H17+I17+J17+G42+H42+I42+J42+G43+H43+I43+J43)</f>
        <v>3401.7200000000003</v>
      </c>
      <c r="V43" s="78">
        <v>88</v>
      </c>
      <c r="W43" s="33">
        <f t="shared" si="9"/>
        <v>299351.36000000004</v>
      </c>
      <c r="X43" s="78">
        <v>9.64</v>
      </c>
      <c r="Y43" s="33">
        <f t="shared" si="10"/>
        <v>32792.580800000003</v>
      </c>
      <c r="Z43" s="33">
        <f t="shared" si="11"/>
        <v>332143.94080000004</v>
      </c>
      <c r="AA43" s="78">
        <f t="shared" si="12"/>
        <v>3321.4394080000006</v>
      </c>
      <c r="AB43" s="33">
        <f t="shared" si="13"/>
        <v>28957.822331193562</v>
      </c>
      <c r="AC43" s="33">
        <f t="shared" si="14"/>
        <v>289.57822331193563</v>
      </c>
      <c r="AD43" s="29">
        <f t="shared" si="15"/>
        <v>29247.400554505497</v>
      </c>
    </row>
    <row r="44" spans="1:30" x14ac:dyDescent="0.4">
      <c r="A44" s="225"/>
      <c r="B44" s="235"/>
      <c r="C44" s="246"/>
      <c r="D44" s="246" t="s">
        <v>93</v>
      </c>
      <c r="E44" s="23" t="s">
        <v>99</v>
      </c>
      <c r="F44" s="23">
        <v>30</v>
      </c>
      <c r="G44" s="7">
        <v>0</v>
      </c>
      <c r="H44" s="7">
        <v>1710.72</v>
      </c>
      <c r="I44" s="7">
        <v>0</v>
      </c>
      <c r="J44" s="7">
        <v>0</v>
      </c>
      <c r="K44" s="34" t="s">
        <v>50</v>
      </c>
      <c r="L44" s="34" t="s">
        <v>50</v>
      </c>
      <c r="M44" s="79" t="s">
        <v>50</v>
      </c>
      <c r="N44" s="34" t="s">
        <v>50</v>
      </c>
      <c r="O44" s="79" t="s">
        <v>50</v>
      </c>
      <c r="P44" s="79" t="s">
        <v>50</v>
      </c>
      <c r="Q44" s="34" t="s">
        <v>50</v>
      </c>
      <c r="R44" s="34" t="s">
        <v>50</v>
      </c>
      <c r="S44" s="34" t="s">
        <v>50</v>
      </c>
      <c r="T44" s="15" t="s">
        <v>50</v>
      </c>
      <c r="U44" s="34" t="s">
        <v>50</v>
      </c>
      <c r="V44" s="79" t="s">
        <v>50</v>
      </c>
      <c r="W44" s="34" t="s">
        <v>50</v>
      </c>
      <c r="X44" s="79" t="s">
        <v>50</v>
      </c>
      <c r="Y44" s="34" t="s">
        <v>50</v>
      </c>
      <c r="Z44" s="34" t="s">
        <v>50</v>
      </c>
      <c r="AA44" s="79" t="s">
        <v>50</v>
      </c>
      <c r="AB44" s="34" t="s">
        <v>50</v>
      </c>
      <c r="AC44" s="34" t="s">
        <v>50</v>
      </c>
      <c r="AD44" s="15" t="s">
        <v>50</v>
      </c>
    </row>
    <row r="45" spans="1:30" x14ac:dyDescent="0.4">
      <c r="A45" s="225"/>
      <c r="B45" s="235"/>
      <c r="C45" s="246"/>
      <c r="D45" s="246"/>
      <c r="E45" s="23" t="s">
        <v>101</v>
      </c>
      <c r="F45" s="23">
        <v>30</v>
      </c>
      <c r="G45" s="7">
        <v>0</v>
      </c>
      <c r="H45" s="8">
        <v>10.5</v>
      </c>
      <c r="I45" s="7">
        <v>5.25</v>
      </c>
      <c r="J45" s="7">
        <v>5.25</v>
      </c>
      <c r="K45" s="74">
        <f>(G17+H17+I17+J17+G44+H44+I44+J44+G45+H45+I45+J45)</f>
        <v>3401.7200000000003</v>
      </c>
      <c r="L45" s="74">
        <f t="shared" si="0"/>
        <v>253.72969948141036</v>
      </c>
      <c r="M45" s="69">
        <f t="shared" si="1"/>
        <v>19.155808614721451</v>
      </c>
      <c r="N45" s="67">
        <f t="shared" si="2"/>
        <v>928280.09060077369</v>
      </c>
      <c r="O45" s="69">
        <f t="shared" si="3"/>
        <v>12946.76089979855</v>
      </c>
      <c r="P45" s="69">
        <f t="shared" si="4"/>
        <v>1629.0674320217565</v>
      </c>
      <c r="Q45" s="67">
        <f t="shared" si="5"/>
        <v>14575.828331820307</v>
      </c>
      <c r="R45" s="67">
        <f t="shared" si="6"/>
        <v>80931.688449459936</v>
      </c>
      <c r="S45" s="67">
        <f t="shared" si="7"/>
        <v>1270.7871356803923</v>
      </c>
      <c r="T45" s="80">
        <f t="shared" si="8"/>
        <v>82202.475585140332</v>
      </c>
      <c r="U45" s="73">
        <f>(G17+H17+I17+J17+G44+H44+I44+J44+G45+H45+I45+J45)</f>
        <v>3401.7200000000003</v>
      </c>
      <c r="V45" s="79">
        <v>88</v>
      </c>
      <c r="W45" s="34">
        <f t="shared" si="9"/>
        <v>299351.36000000004</v>
      </c>
      <c r="X45" s="79">
        <v>9.64</v>
      </c>
      <c r="Y45" s="34">
        <f t="shared" si="10"/>
        <v>32792.580800000003</v>
      </c>
      <c r="Z45" s="34">
        <f t="shared" si="11"/>
        <v>332143.94080000004</v>
      </c>
      <c r="AA45" s="79">
        <f t="shared" si="12"/>
        <v>3321.4394080000006</v>
      </c>
      <c r="AB45" s="34">
        <f t="shared" si="13"/>
        <v>28957.822331193562</v>
      </c>
      <c r="AC45" s="34">
        <f t="shared" si="14"/>
        <v>289.57822331193563</v>
      </c>
      <c r="AD45" s="15">
        <f t="shared" si="15"/>
        <v>29247.400554505497</v>
      </c>
    </row>
    <row r="46" spans="1:30" x14ac:dyDescent="0.4">
      <c r="A46" s="225"/>
      <c r="B46" s="235"/>
      <c r="C46" s="246"/>
      <c r="D46" s="247" t="s">
        <v>94</v>
      </c>
      <c r="E46" s="32" t="s">
        <v>99</v>
      </c>
      <c r="F46" s="32">
        <v>30</v>
      </c>
      <c r="G46" s="27">
        <v>0</v>
      </c>
      <c r="H46" s="27">
        <v>1710.72</v>
      </c>
      <c r="I46" s="27">
        <v>0</v>
      </c>
      <c r="J46" s="27">
        <v>0</v>
      </c>
      <c r="K46" s="33" t="s">
        <v>50</v>
      </c>
      <c r="L46" s="33" t="s">
        <v>50</v>
      </c>
      <c r="M46" s="78" t="s">
        <v>50</v>
      </c>
      <c r="N46" s="33" t="s">
        <v>50</v>
      </c>
      <c r="O46" s="78" t="s">
        <v>50</v>
      </c>
      <c r="P46" s="78" t="s">
        <v>50</v>
      </c>
      <c r="Q46" s="33" t="s">
        <v>50</v>
      </c>
      <c r="R46" s="33" t="s">
        <v>50</v>
      </c>
      <c r="S46" s="33" t="s">
        <v>50</v>
      </c>
      <c r="T46" s="29" t="s">
        <v>50</v>
      </c>
      <c r="U46" s="33" t="s">
        <v>50</v>
      </c>
      <c r="V46" s="78" t="s">
        <v>50</v>
      </c>
      <c r="W46" s="33" t="s">
        <v>50</v>
      </c>
      <c r="X46" s="78" t="s">
        <v>50</v>
      </c>
      <c r="Y46" s="33" t="s">
        <v>50</v>
      </c>
      <c r="Z46" s="33" t="s">
        <v>50</v>
      </c>
      <c r="AA46" s="78" t="s">
        <v>50</v>
      </c>
      <c r="AB46" s="33" t="s">
        <v>50</v>
      </c>
      <c r="AC46" s="33" t="s">
        <v>50</v>
      </c>
      <c r="AD46" s="29" t="s">
        <v>50</v>
      </c>
    </row>
    <row r="47" spans="1:30" x14ac:dyDescent="0.4">
      <c r="A47" s="225"/>
      <c r="B47" s="236"/>
      <c r="C47" s="246"/>
      <c r="D47" s="247"/>
      <c r="E47" s="32" t="s">
        <v>103</v>
      </c>
      <c r="F47" s="32">
        <v>0</v>
      </c>
      <c r="G47" s="27">
        <v>0</v>
      </c>
      <c r="H47" s="28">
        <v>10.5</v>
      </c>
      <c r="I47" s="27">
        <v>5.25</v>
      </c>
      <c r="J47" s="27">
        <v>5.25</v>
      </c>
      <c r="K47" s="74">
        <f>(G17+H17+I17+J17+G46+H46+I46+J46+G47+H47+I47+J47)</f>
        <v>3401.7200000000003</v>
      </c>
      <c r="L47" s="74">
        <f t="shared" si="0"/>
        <v>253.72969948141036</v>
      </c>
      <c r="M47" s="69">
        <f t="shared" si="1"/>
        <v>19.155808614721451</v>
      </c>
      <c r="N47" s="67">
        <f t="shared" si="2"/>
        <v>928280.09060077369</v>
      </c>
      <c r="O47" s="69">
        <f t="shared" si="3"/>
        <v>12946.76089979855</v>
      </c>
      <c r="P47" s="69">
        <f t="shared" si="4"/>
        <v>1629.0674320217565</v>
      </c>
      <c r="Q47" s="67">
        <f t="shared" si="5"/>
        <v>14575.828331820307</v>
      </c>
      <c r="R47" s="67">
        <f t="shared" si="6"/>
        <v>80931.688449459936</v>
      </c>
      <c r="S47" s="67">
        <f t="shared" si="7"/>
        <v>1270.7871356803923</v>
      </c>
      <c r="T47" s="80">
        <f t="shared" si="8"/>
        <v>82202.475585140332</v>
      </c>
      <c r="U47" s="72">
        <f>(G17+H17+I17+J17+G46+H46+I46+J46+G47+H47+I47+J47)</f>
        <v>3401.7200000000003</v>
      </c>
      <c r="V47" s="78">
        <v>88</v>
      </c>
      <c r="W47" s="33">
        <f t="shared" si="9"/>
        <v>299351.36000000004</v>
      </c>
      <c r="X47" s="78">
        <v>9.64</v>
      </c>
      <c r="Y47" s="33">
        <f t="shared" si="10"/>
        <v>32792.580800000003</v>
      </c>
      <c r="Z47" s="33">
        <f t="shared" si="11"/>
        <v>332143.94080000004</v>
      </c>
      <c r="AA47" s="78">
        <f t="shared" si="12"/>
        <v>3321.4394080000006</v>
      </c>
      <c r="AB47" s="33">
        <f t="shared" si="13"/>
        <v>28957.822331193562</v>
      </c>
      <c r="AC47" s="33">
        <f t="shared" si="14"/>
        <v>289.57822331193563</v>
      </c>
      <c r="AD47" s="29">
        <f t="shared" si="15"/>
        <v>29247.400554505497</v>
      </c>
    </row>
    <row r="48" spans="1:30" x14ac:dyDescent="0.4">
      <c r="A48" s="225"/>
      <c r="B48" s="237" t="s">
        <v>104</v>
      </c>
      <c r="C48" s="240" t="s">
        <v>16</v>
      </c>
      <c r="D48" s="242" t="s">
        <v>56</v>
      </c>
      <c r="E48" s="243"/>
      <c r="F48" s="31">
        <v>90</v>
      </c>
      <c r="G48" s="31">
        <v>0</v>
      </c>
      <c r="H48" s="38">
        <v>1670</v>
      </c>
      <c r="I48" s="31">
        <v>0</v>
      </c>
      <c r="J48" s="31">
        <v>0</v>
      </c>
      <c r="K48" s="39" t="s">
        <v>50</v>
      </c>
      <c r="L48" s="39" t="s">
        <v>50</v>
      </c>
      <c r="M48" s="40" t="s">
        <v>50</v>
      </c>
      <c r="N48" s="83" t="s">
        <v>50</v>
      </c>
      <c r="O48" s="40" t="s">
        <v>50</v>
      </c>
      <c r="P48" s="40" t="s">
        <v>50</v>
      </c>
      <c r="Q48" s="83" t="s">
        <v>50</v>
      </c>
      <c r="R48" s="83" t="s">
        <v>50</v>
      </c>
      <c r="S48" s="83" t="s">
        <v>50</v>
      </c>
      <c r="T48" s="19" t="s">
        <v>50</v>
      </c>
      <c r="U48" s="39" t="s">
        <v>50</v>
      </c>
      <c r="V48" s="40" t="s">
        <v>50</v>
      </c>
      <c r="W48" s="83" t="s">
        <v>50</v>
      </c>
      <c r="X48" s="40" t="s">
        <v>50</v>
      </c>
      <c r="Y48" s="83" t="s">
        <v>50</v>
      </c>
      <c r="Z48" s="83" t="s">
        <v>50</v>
      </c>
      <c r="AA48" s="40" t="s">
        <v>50</v>
      </c>
      <c r="AB48" s="83" t="s">
        <v>50</v>
      </c>
      <c r="AC48" s="83" t="s">
        <v>50</v>
      </c>
      <c r="AD48" s="19" t="s">
        <v>50</v>
      </c>
    </row>
    <row r="49" spans="1:30" x14ac:dyDescent="0.4">
      <c r="A49" s="225"/>
      <c r="B49" s="238"/>
      <c r="C49" s="241"/>
      <c r="D49" s="242" t="s">
        <v>75</v>
      </c>
      <c r="E49" s="243"/>
      <c r="F49" s="31">
        <v>90</v>
      </c>
      <c r="G49" s="31">
        <v>110.88</v>
      </c>
      <c r="H49" s="38">
        <v>63.36</v>
      </c>
      <c r="I49" s="31">
        <v>269.27999999999997</v>
      </c>
      <c r="J49" s="31">
        <v>269.27999999999997</v>
      </c>
      <c r="K49" s="39" t="s">
        <v>50</v>
      </c>
      <c r="L49" s="40" t="s">
        <v>50</v>
      </c>
      <c r="M49" s="40" t="s">
        <v>50</v>
      </c>
      <c r="N49" s="83" t="s">
        <v>50</v>
      </c>
      <c r="O49" s="40" t="s">
        <v>50</v>
      </c>
      <c r="P49" s="40" t="s">
        <v>50</v>
      </c>
      <c r="Q49" s="83" t="s">
        <v>50</v>
      </c>
      <c r="R49" s="83" t="s">
        <v>50</v>
      </c>
      <c r="S49" s="83" t="s">
        <v>50</v>
      </c>
      <c r="T49" s="19" t="s">
        <v>50</v>
      </c>
      <c r="U49" s="39" t="s">
        <v>50</v>
      </c>
      <c r="V49" s="40" t="s">
        <v>50</v>
      </c>
      <c r="W49" s="83" t="s">
        <v>50</v>
      </c>
      <c r="X49" s="40" t="s">
        <v>50</v>
      </c>
      <c r="Y49" s="83" t="s">
        <v>50</v>
      </c>
      <c r="Z49" s="83" t="s">
        <v>50</v>
      </c>
      <c r="AA49" s="40" t="s">
        <v>50</v>
      </c>
      <c r="AB49" s="83" t="s">
        <v>50</v>
      </c>
      <c r="AC49" s="83" t="s">
        <v>50</v>
      </c>
      <c r="AD49" s="19" t="s">
        <v>50</v>
      </c>
    </row>
    <row r="50" spans="1:30" x14ac:dyDescent="0.4">
      <c r="A50" s="225"/>
      <c r="B50" s="238"/>
      <c r="C50" s="244" t="s">
        <v>79</v>
      </c>
      <c r="D50" s="245" t="s">
        <v>80</v>
      </c>
      <c r="E50" s="41" t="s">
        <v>95</v>
      </c>
      <c r="F50" s="41">
        <v>30</v>
      </c>
      <c r="G50" s="41">
        <v>0</v>
      </c>
      <c r="H50" s="41">
        <v>427.68</v>
      </c>
      <c r="I50" s="41">
        <v>0</v>
      </c>
      <c r="J50" s="41">
        <v>0</v>
      </c>
      <c r="K50" s="43" t="s">
        <v>50</v>
      </c>
      <c r="L50" s="43" t="s">
        <v>50</v>
      </c>
      <c r="M50" s="43" t="s">
        <v>50</v>
      </c>
      <c r="N50" s="85" t="s">
        <v>50</v>
      </c>
      <c r="O50" s="43" t="s">
        <v>50</v>
      </c>
      <c r="P50" s="43" t="s">
        <v>50</v>
      </c>
      <c r="Q50" s="85" t="s">
        <v>50</v>
      </c>
      <c r="R50" s="85" t="s">
        <v>50</v>
      </c>
      <c r="S50" s="85" t="s">
        <v>50</v>
      </c>
      <c r="T50" s="82" t="s">
        <v>50</v>
      </c>
      <c r="U50" s="43" t="s">
        <v>50</v>
      </c>
      <c r="V50" s="43" t="s">
        <v>50</v>
      </c>
      <c r="W50" s="85" t="s">
        <v>50</v>
      </c>
      <c r="X50" s="43" t="s">
        <v>50</v>
      </c>
      <c r="Y50" s="85" t="s">
        <v>50</v>
      </c>
      <c r="Z50" s="85" t="s">
        <v>50</v>
      </c>
      <c r="AA50" s="43" t="s">
        <v>50</v>
      </c>
      <c r="AB50" s="85" t="s">
        <v>50</v>
      </c>
      <c r="AC50" s="85" t="s">
        <v>50</v>
      </c>
      <c r="AD50" s="82" t="s">
        <v>50</v>
      </c>
    </row>
    <row r="51" spans="1:30" x14ac:dyDescent="0.4">
      <c r="A51" s="225"/>
      <c r="B51" s="238"/>
      <c r="C51" s="244"/>
      <c r="D51" s="245"/>
      <c r="E51" s="41" t="s">
        <v>100</v>
      </c>
      <c r="F51" s="41">
        <v>60</v>
      </c>
      <c r="G51" s="41">
        <v>0</v>
      </c>
      <c r="H51" s="42">
        <v>10.5</v>
      </c>
      <c r="I51" s="41">
        <v>5.25</v>
      </c>
      <c r="J51" s="41">
        <v>5.25</v>
      </c>
      <c r="K51" s="75">
        <f>(G48+H48+I48+J48+G49+H49+I49+J49+G50+H50+I50+J50+G51+H51+I51+J51)</f>
        <v>2831.48</v>
      </c>
      <c r="L51" s="75">
        <f t="shared" si="0"/>
        <v>260.09307478658349</v>
      </c>
      <c r="M51" s="43">
        <f t="shared" si="1"/>
        <v>21.765131461222818</v>
      </c>
      <c r="N51" s="85">
        <f t="shared" si="2"/>
        <v>798075.87382653868</v>
      </c>
      <c r="O51" s="43">
        <f t="shared" si="3"/>
        <v>11046.725090950731</v>
      </c>
      <c r="P51" s="43">
        <f t="shared" si="4"/>
        <v>1540.6883607455798</v>
      </c>
      <c r="Q51" s="85">
        <f t="shared" si="5"/>
        <v>12587.413451696311</v>
      </c>
      <c r="R51" s="85">
        <f t="shared" si="6"/>
        <v>69579.891493480332</v>
      </c>
      <c r="S51" s="85">
        <f t="shared" si="7"/>
        <v>1097.4280652706029</v>
      </c>
      <c r="T51" s="82">
        <f t="shared" si="8"/>
        <v>70677.31955875094</v>
      </c>
      <c r="U51" s="75">
        <f>(G48+H48+I48+J48+G49+H49+I49+J49+G50+H50+I50+J50+G51+H51+I51+J51)</f>
        <v>2831.48</v>
      </c>
      <c r="V51" s="43">
        <v>88</v>
      </c>
      <c r="W51" s="85">
        <f t="shared" si="9"/>
        <v>249170.24</v>
      </c>
      <c r="X51" s="43">
        <v>9.64</v>
      </c>
      <c r="Y51" s="85">
        <f t="shared" si="10"/>
        <v>27295.467200000003</v>
      </c>
      <c r="Z51" s="85">
        <f t="shared" si="11"/>
        <v>276465.7072</v>
      </c>
      <c r="AA51" s="43">
        <f t="shared" si="12"/>
        <v>2764.657072</v>
      </c>
      <c r="AB51" s="85">
        <f t="shared" si="13"/>
        <v>24103.540201523916</v>
      </c>
      <c r="AC51" s="85">
        <f t="shared" si="14"/>
        <v>241.03540201523916</v>
      </c>
      <c r="AD51" s="82">
        <f t="shared" si="15"/>
        <v>24344.575603539157</v>
      </c>
    </row>
    <row r="52" spans="1:30" x14ac:dyDescent="0.4">
      <c r="A52" s="225"/>
      <c r="B52" s="238"/>
      <c r="C52" s="244"/>
      <c r="D52" s="244" t="s">
        <v>81</v>
      </c>
      <c r="E52" s="31" t="s">
        <v>95</v>
      </c>
      <c r="F52" s="31">
        <v>30</v>
      </c>
      <c r="G52" s="31">
        <v>0</v>
      </c>
      <c r="H52" s="31">
        <v>427.68</v>
      </c>
      <c r="I52" s="31">
        <v>0</v>
      </c>
      <c r="J52" s="31">
        <v>0</v>
      </c>
      <c r="K52" s="40" t="s">
        <v>50</v>
      </c>
      <c r="L52" s="40" t="s">
        <v>50</v>
      </c>
      <c r="M52" s="40" t="s">
        <v>50</v>
      </c>
      <c r="N52" s="83" t="s">
        <v>50</v>
      </c>
      <c r="O52" s="40" t="s">
        <v>50</v>
      </c>
      <c r="P52" s="40" t="s">
        <v>50</v>
      </c>
      <c r="Q52" s="83" t="s">
        <v>50</v>
      </c>
      <c r="R52" s="83" t="s">
        <v>50</v>
      </c>
      <c r="S52" s="83" t="s">
        <v>50</v>
      </c>
      <c r="T52" s="19" t="s">
        <v>50</v>
      </c>
      <c r="U52" s="40" t="s">
        <v>50</v>
      </c>
      <c r="V52" s="40" t="s">
        <v>50</v>
      </c>
      <c r="W52" s="83" t="s">
        <v>50</v>
      </c>
      <c r="X52" s="40" t="s">
        <v>50</v>
      </c>
      <c r="Y52" s="83" t="s">
        <v>50</v>
      </c>
      <c r="Z52" s="83" t="s">
        <v>50</v>
      </c>
      <c r="AA52" s="40" t="s">
        <v>50</v>
      </c>
      <c r="AB52" s="83" t="s">
        <v>50</v>
      </c>
      <c r="AC52" s="83" t="s">
        <v>50</v>
      </c>
      <c r="AD52" s="19" t="s">
        <v>50</v>
      </c>
    </row>
    <row r="53" spans="1:30" x14ac:dyDescent="0.4">
      <c r="A53" s="225"/>
      <c r="B53" s="238"/>
      <c r="C53" s="244"/>
      <c r="D53" s="244"/>
      <c r="E53" s="31" t="s">
        <v>101</v>
      </c>
      <c r="F53" s="31">
        <v>30</v>
      </c>
      <c r="G53" s="31">
        <v>0</v>
      </c>
      <c r="H53" s="38">
        <v>10.5</v>
      </c>
      <c r="I53" s="31">
        <v>5.25</v>
      </c>
      <c r="J53" s="31">
        <v>5.25</v>
      </c>
      <c r="K53" s="76">
        <f>(G48+H48+I48+J48+G49+H49+I49+J49+G52+H52+I52+J52+G53+H53+I53+J53)</f>
        <v>2831.48</v>
      </c>
      <c r="L53" s="40">
        <f t="shared" si="0"/>
        <v>260.09307478658349</v>
      </c>
      <c r="M53" s="40">
        <f t="shared" si="1"/>
        <v>21.765131461222818</v>
      </c>
      <c r="N53" s="83">
        <f t="shared" si="2"/>
        <v>798075.87382653868</v>
      </c>
      <c r="O53" s="40">
        <f t="shared" si="3"/>
        <v>11046.725090950731</v>
      </c>
      <c r="P53" s="40">
        <f t="shared" si="4"/>
        <v>1540.6883607455798</v>
      </c>
      <c r="Q53" s="83">
        <f t="shared" si="5"/>
        <v>12587.413451696311</v>
      </c>
      <c r="R53" s="83">
        <f t="shared" si="6"/>
        <v>69579.891493480332</v>
      </c>
      <c r="S53" s="83">
        <f t="shared" si="7"/>
        <v>1097.4280652706029</v>
      </c>
      <c r="T53" s="19">
        <f t="shared" si="8"/>
        <v>70677.31955875094</v>
      </c>
      <c r="U53" s="76">
        <f>(G48+H48+I48+J48+G49+H49+I49+J49+G52+H52+I52+J52+G53+H53+I53+J53)</f>
        <v>2831.48</v>
      </c>
      <c r="V53" s="40">
        <v>88</v>
      </c>
      <c r="W53" s="83">
        <f t="shared" si="9"/>
        <v>249170.24</v>
      </c>
      <c r="X53" s="40">
        <v>9.64</v>
      </c>
      <c r="Y53" s="83">
        <f t="shared" si="10"/>
        <v>27295.467200000003</v>
      </c>
      <c r="Z53" s="83">
        <f t="shared" si="11"/>
        <v>276465.7072</v>
      </c>
      <c r="AA53" s="40">
        <f t="shared" si="12"/>
        <v>2764.657072</v>
      </c>
      <c r="AB53" s="83">
        <f t="shared" si="13"/>
        <v>24103.540201523916</v>
      </c>
      <c r="AC53" s="83">
        <f t="shared" si="14"/>
        <v>241.03540201523916</v>
      </c>
      <c r="AD53" s="19">
        <f t="shared" si="15"/>
        <v>24344.575603539157</v>
      </c>
    </row>
    <row r="54" spans="1:30" x14ac:dyDescent="0.4">
      <c r="A54" s="225"/>
      <c r="B54" s="238"/>
      <c r="C54" s="244"/>
      <c r="D54" s="245" t="s">
        <v>82</v>
      </c>
      <c r="E54" s="41" t="s">
        <v>95</v>
      </c>
      <c r="F54" s="41">
        <v>30</v>
      </c>
      <c r="G54" s="41">
        <v>0</v>
      </c>
      <c r="H54" s="41">
        <v>427.68</v>
      </c>
      <c r="I54" s="41">
        <v>0</v>
      </c>
      <c r="J54" s="41">
        <v>0</v>
      </c>
      <c r="K54" s="43" t="s">
        <v>50</v>
      </c>
      <c r="L54" s="43" t="s">
        <v>50</v>
      </c>
      <c r="M54" s="43" t="s">
        <v>50</v>
      </c>
      <c r="N54" s="85" t="s">
        <v>50</v>
      </c>
      <c r="O54" s="43" t="s">
        <v>50</v>
      </c>
      <c r="P54" s="43" t="s">
        <v>50</v>
      </c>
      <c r="Q54" s="85" t="s">
        <v>50</v>
      </c>
      <c r="R54" s="85" t="s">
        <v>50</v>
      </c>
      <c r="S54" s="85" t="s">
        <v>50</v>
      </c>
      <c r="T54" s="82" t="s">
        <v>50</v>
      </c>
      <c r="U54" s="43" t="s">
        <v>50</v>
      </c>
      <c r="V54" s="43" t="s">
        <v>50</v>
      </c>
      <c r="W54" s="85" t="s">
        <v>50</v>
      </c>
      <c r="X54" s="43" t="s">
        <v>50</v>
      </c>
      <c r="Y54" s="85" t="s">
        <v>50</v>
      </c>
      <c r="Z54" s="85" t="s">
        <v>50</v>
      </c>
      <c r="AA54" s="43" t="s">
        <v>50</v>
      </c>
      <c r="AB54" s="85" t="s">
        <v>50</v>
      </c>
      <c r="AC54" s="85" t="s">
        <v>50</v>
      </c>
      <c r="AD54" s="82" t="s">
        <v>50</v>
      </c>
    </row>
    <row r="55" spans="1:30" x14ac:dyDescent="0.4">
      <c r="A55" s="225"/>
      <c r="B55" s="238"/>
      <c r="C55" s="244"/>
      <c r="D55" s="245"/>
      <c r="E55" s="41" t="s">
        <v>102</v>
      </c>
      <c r="F55" s="41">
        <v>0</v>
      </c>
      <c r="G55" s="41">
        <v>0</v>
      </c>
      <c r="H55" s="42">
        <v>10.5</v>
      </c>
      <c r="I55" s="41">
        <v>5.25</v>
      </c>
      <c r="J55" s="41">
        <v>5.25</v>
      </c>
      <c r="K55" s="75">
        <f>(G48+H48+I48+J48+G49+H49+I49+J49+G54+H54+I54+J54+G55+H55+I55+J55)</f>
        <v>2831.48</v>
      </c>
      <c r="L55" s="75">
        <f t="shared" si="0"/>
        <v>260.09307478658349</v>
      </c>
      <c r="M55" s="43">
        <f t="shared" si="1"/>
        <v>21.765131461222818</v>
      </c>
      <c r="N55" s="85">
        <f t="shared" si="2"/>
        <v>798075.87382653868</v>
      </c>
      <c r="O55" s="43">
        <f t="shared" si="3"/>
        <v>11046.725090950731</v>
      </c>
      <c r="P55" s="43">
        <f t="shared" si="4"/>
        <v>1540.6883607455798</v>
      </c>
      <c r="Q55" s="85">
        <f t="shared" si="5"/>
        <v>12587.413451696311</v>
      </c>
      <c r="R55" s="85">
        <f t="shared" si="6"/>
        <v>69579.891493480332</v>
      </c>
      <c r="S55" s="85">
        <f t="shared" si="7"/>
        <v>1097.4280652706029</v>
      </c>
      <c r="T55" s="82">
        <f t="shared" si="8"/>
        <v>70677.31955875094</v>
      </c>
      <c r="U55" s="75">
        <f>(G48+H48+I48+J48+G49+H49+I49+J49+G54+H54+I54+J54+G55+H55+I55+J55)</f>
        <v>2831.48</v>
      </c>
      <c r="V55" s="43">
        <v>88</v>
      </c>
      <c r="W55" s="85">
        <f t="shared" si="9"/>
        <v>249170.24</v>
      </c>
      <c r="X55" s="43">
        <v>9.64</v>
      </c>
      <c r="Y55" s="85">
        <f t="shared" si="10"/>
        <v>27295.467200000003</v>
      </c>
      <c r="Z55" s="85">
        <f t="shared" si="11"/>
        <v>276465.7072</v>
      </c>
      <c r="AA55" s="43">
        <f t="shared" si="12"/>
        <v>2764.657072</v>
      </c>
      <c r="AB55" s="85">
        <f t="shared" si="13"/>
        <v>24103.540201523916</v>
      </c>
      <c r="AC55" s="85">
        <f t="shared" si="14"/>
        <v>241.03540201523916</v>
      </c>
      <c r="AD55" s="82">
        <f t="shared" si="15"/>
        <v>24344.575603539157</v>
      </c>
    </row>
    <row r="56" spans="1:30" x14ac:dyDescent="0.4">
      <c r="A56" s="225"/>
      <c r="B56" s="238"/>
      <c r="C56" s="244"/>
      <c r="D56" s="244" t="s">
        <v>83</v>
      </c>
      <c r="E56" s="31" t="s">
        <v>96</v>
      </c>
      <c r="F56" s="31">
        <v>30</v>
      </c>
      <c r="G56" s="31">
        <v>0</v>
      </c>
      <c r="H56" s="31">
        <v>712.8</v>
      </c>
      <c r="I56" s="31">
        <v>0</v>
      </c>
      <c r="J56" s="31">
        <v>0</v>
      </c>
      <c r="K56" s="40" t="s">
        <v>50</v>
      </c>
      <c r="L56" s="40" t="s">
        <v>50</v>
      </c>
      <c r="M56" s="40" t="s">
        <v>50</v>
      </c>
      <c r="N56" s="83" t="s">
        <v>50</v>
      </c>
      <c r="O56" s="40" t="s">
        <v>50</v>
      </c>
      <c r="P56" s="40" t="s">
        <v>50</v>
      </c>
      <c r="Q56" s="83" t="s">
        <v>50</v>
      </c>
      <c r="R56" s="83" t="s">
        <v>50</v>
      </c>
      <c r="S56" s="83" t="s">
        <v>50</v>
      </c>
      <c r="T56" s="19" t="s">
        <v>50</v>
      </c>
      <c r="U56" s="40" t="s">
        <v>50</v>
      </c>
      <c r="V56" s="40" t="s">
        <v>50</v>
      </c>
      <c r="W56" s="83" t="s">
        <v>50</v>
      </c>
      <c r="X56" s="40" t="s">
        <v>50</v>
      </c>
      <c r="Y56" s="83" t="s">
        <v>50</v>
      </c>
      <c r="Z56" s="83" t="s">
        <v>50</v>
      </c>
      <c r="AA56" s="40" t="s">
        <v>50</v>
      </c>
      <c r="AB56" s="83" t="s">
        <v>50</v>
      </c>
      <c r="AC56" s="83" t="s">
        <v>50</v>
      </c>
      <c r="AD56" s="19" t="s">
        <v>50</v>
      </c>
    </row>
    <row r="57" spans="1:30" x14ac:dyDescent="0.4">
      <c r="A57" s="225"/>
      <c r="B57" s="238"/>
      <c r="C57" s="244"/>
      <c r="D57" s="244"/>
      <c r="E57" s="31" t="s">
        <v>100</v>
      </c>
      <c r="F57" s="31">
        <v>60</v>
      </c>
      <c r="G57" s="31">
        <v>0</v>
      </c>
      <c r="H57" s="38">
        <v>10.5</v>
      </c>
      <c r="I57" s="31">
        <v>5.25</v>
      </c>
      <c r="J57" s="31">
        <v>5.25</v>
      </c>
      <c r="K57" s="76">
        <f>(G48+H48+I48+J48+G49+H49+I49+J49+G56+H56+I56+J56+G57+H57+I57+J57)</f>
        <v>3116.6000000000004</v>
      </c>
      <c r="L57" s="76">
        <f t="shared" si="0"/>
        <v>256.74598876892873</v>
      </c>
      <c r="M57" s="40">
        <f t="shared" si="1"/>
        <v>20.359198059871176</v>
      </c>
      <c r="N57" s="83">
        <f t="shared" si="2"/>
        <v>863626.02527063782</v>
      </c>
      <c r="O57" s="40">
        <f t="shared" si="3"/>
        <v>12002.61822895865</v>
      </c>
      <c r="P57" s="40">
        <f t="shared" si="4"/>
        <v>1586.2869168348632</v>
      </c>
      <c r="Q57" s="83">
        <f t="shared" si="5"/>
        <v>13588.905145793513</v>
      </c>
      <c r="R57" s="83">
        <f t="shared" si="6"/>
        <v>75294.852406899634</v>
      </c>
      <c r="S57" s="83">
        <f t="shared" si="7"/>
        <v>1184.7426749364638</v>
      </c>
      <c r="T57" s="19">
        <f t="shared" si="8"/>
        <v>76479.595081836102</v>
      </c>
      <c r="U57" s="76">
        <f>(G48+H48+I48+J48+G49+H49+I49+J49+G56+H56+I56+J56+G57+H57+I57+J57)</f>
        <v>3116.6000000000004</v>
      </c>
      <c r="V57" s="40">
        <v>88</v>
      </c>
      <c r="W57" s="83">
        <f t="shared" si="9"/>
        <v>274260.80000000005</v>
      </c>
      <c r="X57" s="40">
        <v>9.64</v>
      </c>
      <c r="Y57" s="83">
        <f t="shared" si="10"/>
        <v>30044.024000000005</v>
      </c>
      <c r="Z57" s="83">
        <f t="shared" si="11"/>
        <v>304304.82400000002</v>
      </c>
      <c r="AA57" s="40">
        <f t="shared" si="12"/>
        <v>3043.0482400000001</v>
      </c>
      <c r="AB57" s="83">
        <f t="shared" si="13"/>
        <v>26530.681266358741</v>
      </c>
      <c r="AC57" s="83">
        <f t="shared" si="14"/>
        <v>265.30681266358738</v>
      </c>
      <c r="AD57" s="19">
        <f t="shared" si="15"/>
        <v>26795.988079022329</v>
      </c>
    </row>
    <row r="58" spans="1:30" x14ac:dyDescent="0.4">
      <c r="A58" s="225"/>
      <c r="B58" s="238"/>
      <c r="C58" s="244"/>
      <c r="D58" s="245" t="s">
        <v>84</v>
      </c>
      <c r="E58" s="41" t="s">
        <v>96</v>
      </c>
      <c r="F58" s="41">
        <v>30</v>
      </c>
      <c r="G58" s="41">
        <v>0</v>
      </c>
      <c r="H58" s="41">
        <v>712.8</v>
      </c>
      <c r="I58" s="41">
        <v>0</v>
      </c>
      <c r="J58" s="41">
        <v>0</v>
      </c>
      <c r="K58" s="43" t="s">
        <v>50</v>
      </c>
      <c r="L58" s="43" t="s">
        <v>50</v>
      </c>
      <c r="M58" s="43" t="s">
        <v>50</v>
      </c>
      <c r="N58" s="85" t="s">
        <v>50</v>
      </c>
      <c r="O58" s="43" t="s">
        <v>50</v>
      </c>
      <c r="P58" s="43" t="s">
        <v>50</v>
      </c>
      <c r="Q58" s="85" t="s">
        <v>50</v>
      </c>
      <c r="R58" s="85" t="s">
        <v>50</v>
      </c>
      <c r="S58" s="85" t="s">
        <v>50</v>
      </c>
      <c r="T58" s="82" t="s">
        <v>50</v>
      </c>
      <c r="U58" s="43" t="s">
        <v>50</v>
      </c>
      <c r="V58" s="43" t="s">
        <v>50</v>
      </c>
      <c r="W58" s="85" t="s">
        <v>50</v>
      </c>
      <c r="X58" s="43" t="s">
        <v>50</v>
      </c>
      <c r="Y58" s="85" t="s">
        <v>50</v>
      </c>
      <c r="Z58" s="85" t="s">
        <v>50</v>
      </c>
      <c r="AA58" s="43" t="s">
        <v>50</v>
      </c>
      <c r="AB58" s="85" t="s">
        <v>50</v>
      </c>
      <c r="AC58" s="85" t="s">
        <v>50</v>
      </c>
      <c r="AD58" s="82" t="s">
        <v>50</v>
      </c>
    </row>
    <row r="59" spans="1:30" x14ac:dyDescent="0.4">
      <c r="A59" s="225"/>
      <c r="B59" s="238"/>
      <c r="C59" s="244"/>
      <c r="D59" s="245"/>
      <c r="E59" s="41" t="s">
        <v>101</v>
      </c>
      <c r="F59" s="41">
        <v>30</v>
      </c>
      <c r="G59" s="41">
        <v>0</v>
      </c>
      <c r="H59" s="42">
        <v>10.5</v>
      </c>
      <c r="I59" s="41">
        <v>5.25</v>
      </c>
      <c r="J59" s="41">
        <v>5.25</v>
      </c>
      <c r="K59" s="75">
        <f>(G48+H48+I48+J48+G49+H49+I49+J49+G58+H58+I58+J58+G59+H59+I59+J59)</f>
        <v>3116.6000000000004</v>
      </c>
      <c r="L59" s="75">
        <f t="shared" si="0"/>
        <v>256.74598876892873</v>
      </c>
      <c r="M59" s="43">
        <f t="shared" si="1"/>
        <v>20.359198059871176</v>
      </c>
      <c r="N59" s="85">
        <f t="shared" si="2"/>
        <v>863626.02527063782</v>
      </c>
      <c r="O59" s="43">
        <f t="shared" si="3"/>
        <v>12002.61822895865</v>
      </c>
      <c r="P59" s="43">
        <f t="shared" si="4"/>
        <v>1586.2869168348632</v>
      </c>
      <c r="Q59" s="85">
        <f t="shared" si="5"/>
        <v>13588.905145793513</v>
      </c>
      <c r="R59" s="85">
        <f t="shared" si="6"/>
        <v>75294.852406899634</v>
      </c>
      <c r="S59" s="85">
        <f t="shared" si="7"/>
        <v>1184.7426749364638</v>
      </c>
      <c r="T59" s="82">
        <f t="shared" si="8"/>
        <v>76479.595081836102</v>
      </c>
      <c r="U59" s="75">
        <f>(G48+H48+I48+J48+G49+H49+I49+J49+G58+H58+I58+J58+G59+H59+I59+J59)</f>
        <v>3116.6000000000004</v>
      </c>
      <c r="V59" s="43">
        <v>88</v>
      </c>
      <c r="W59" s="85">
        <f t="shared" si="9"/>
        <v>274260.80000000005</v>
      </c>
      <c r="X59" s="43">
        <v>9.64</v>
      </c>
      <c r="Y59" s="85">
        <f t="shared" si="10"/>
        <v>30044.024000000005</v>
      </c>
      <c r="Z59" s="85">
        <f t="shared" si="11"/>
        <v>304304.82400000002</v>
      </c>
      <c r="AA59" s="43">
        <f t="shared" si="12"/>
        <v>3043.0482400000001</v>
      </c>
      <c r="AB59" s="85">
        <f t="shared" si="13"/>
        <v>26530.681266358741</v>
      </c>
      <c r="AC59" s="85">
        <f t="shared" si="14"/>
        <v>265.30681266358738</v>
      </c>
      <c r="AD59" s="82">
        <f t="shared" si="15"/>
        <v>26795.988079022329</v>
      </c>
    </row>
    <row r="60" spans="1:30" x14ac:dyDescent="0.4">
      <c r="A60" s="225"/>
      <c r="B60" s="238"/>
      <c r="C60" s="244"/>
      <c r="D60" s="244" t="s">
        <v>85</v>
      </c>
      <c r="E60" s="31" t="s">
        <v>96</v>
      </c>
      <c r="F60" s="31">
        <v>30</v>
      </c>
      <c r="G60" s="31">
        <v>0</v>
      </c>
      <c r="H60" s="31">
        <v>712.8</v>
      </c>
      <c r="I60" s="31">
        <v>0</v>
      </c>
      <c r="J60" s="31">
        <v>0</v>
      </c>
      <c r="K60" s="40" t="s">
        <v>50</v>
      </c>
      <c r="L60" s="40" t="s">
        <v>50</v>
      </c>
      <c r="M60" s="40" t="s">
        <v>50</v>
      </c>
      <c r="N60" s="83" t="s">
        <v>50</v>
      </c>
      <c r="O60" s="40" t="s">
        <v>50</v>
      </c>
      <c r="P60" s="40" t="s">
        <v>50</v>
      </c>
      <c r="Q60" s="83" t="s">
        <v>50</v>
      </c>
      <c r="R60" s="83" t="s">
        <v>50</v>
      </c>
      <c r="S60" s="83" t="s">
        <v>50</v>
      </c>
      <c r="T60" s="19" t="s">
        <v>50</v>
      </c>
      <c r="U60" s="40" t="s">
        <v>50</v>
      </c>
      <c r="V60" s="40" t="s">
        <v>50</v>
      </c>
      <c r="W60" s="83" t="s">
        <v>50</v>
      </c>
      <c r="X60" s="40" t="s">
        <v>50</v>
      </c>
      <c r="Y60" s="83" t="s">
        <v>50</v>
      </c>
      <c r="Z60" s="83" t="s">
        <v>50</v>
      </c>
      <c r="AA60" s="40" t="s">
        <v>50</v>
      </c>
      <c r="AB60" s="83" t="s">
        <v>50</v>
      </c>
      <c r="AC60" s="83" t="s">
        <v>50</v>
      </c>
      <c r="AD60" s="19" t="s">
        <v>50</v>
      </c>
    </row>
    <row r="61" spans="1:30" x14ac:dyDescent="0.4">
      <c r="A61" s="225"/>
      <c r="B61" s="238"/>
      <c r="C61" s="244"/>
      <c r="D61" s="244"/>
      <c r="E61" s="31" t="s">
        <v>102</v>
      </c>
      <c r="F61" s="31">
        <v>0</v>
      </c>
      <c r="G61" s="31">
        <v>0</v>
      </c>
      <c r="H61" s="38">
        <v>10.5</v>
      </c>
      <c r="I61" s="31">
        <v>5.25</v>
      </c>
      <c r="J61" s="31">
        <v>5.25</v>
      </c>
      <c r="K61" s="76">
        <f>(G48+H48+I48+J48+G49+H49+I49+J49+G60+H60+I60+J60+G61+H61+I61+J61)</f>
        <v>3116.6000000000004</v>
      </c>
      <c r="L61" s="76">
        <f t="shared" si="0"/>
        <v>256.74598876892873</v>
      </c>
      <c r="M61" s="40">
        <f t="shared" si="1"/>
        <v>20.359198059871176</v>
      </c>
      <c r="N61" s="83">
        <f t="shared" si="2"/>
        <v>863626.02527063782</v>
      </c>
      <c r="O61" s="40">
        <f t="shared" si="3"/>
        <v>12002.61822895865</v>
      </c>
      <c r="P61" s="40">
        <f t="shared" si="4"/>
        <v>1586.2869168348632</v>
      </c>
      <c r="Q61" s="83">
        <f t="shared" si="5"/>
        <v>13588.905145793513</v>
      </c>
      <c r="R61" s="83">
        <f t="shared" si="6"/>
        <v>75294.852406899634</v>
      </c>
      <c r="S61" s="83">
        <f t="shared" si="7"/>
        <v>1184.7426749364638</v>
      </c>
      <c r="T61" s="19">
        <f t="shared" si="8"/>
        <v>76479.595081836102</v>
      </c>
      <c r="U61" s="76">
        <f>(G48+H48+I48+J48+G49+H49+I49+J49+G60+H60+I60+J60+G61+H61+I61+J61)</f>
        <v>3116.6000000000004</v>
      </c>
      <c r="V61" s="40">
        <v>88</v>
      </c>
      <c r="W61" s="83">
        <f t="shared" si="9"/>
        <v>274260.80000000005</v>
      </c>
      <c r="X61" s="40">
        <v>9.64</v>
      </c>
      <c r="Y61" s="83">
        <f t="shared" si="10"/>
        <v>30044.024000000005</v>
      </c>
      <c r="Z61" s="83">
        <f t="shared" si="11"/>
        <v>304304.82400000002</v>
      </c>
      <c r="AA61" s="40">
        <f t="shared" si="12"/>
        <v>3043.0482400000001</v>
      </c>
      <c r="AB61" s="83">
        <f t="shared" si="13"/>
        <v>26530.681266358741</v>
      </c>
      <c r="AC61" s="83">
        <f t="shared" si="14"/>
        <v>265.30681266358738</v>
      </c>
      <c r="AD61" s="19">
        <f t="shared" si="15"/>
        <v>26795.988079022329</v>
      </c>
    </row>
    <row r="62" spans="1:30" x14ac:dyDescent="0.4">
      <c r="A62" s="225"/>
      <c r="B62" s="238"/>
      <c r="C62" s="244"/>
      <c r="D62" s="245" t="s">
        <v>86</v>
      </c>
      <c r="E62" s="41" t="s">
        <v>97</v>
      </c>
      <c r="F62" s="41">
        <v>30</v>
      </c>
      <c r="G62" s="41">
        <v>0</v>
      </c>
      <c r="H62" s="41">
        <v>1140.48</v>
      </c>
      <c r="I62" s="41">
        <v>0</v>
      </c>
      <c r="J62" s="41">
        <v>0</v>
      </c>
      <c r="K62" s="43" t="s">
        <v>50</v>
      </c>
      <c r="L62" s="43" t="s">
        <v>50</v>
      </c>
      <c r="M62" s="43" t="s">
        <v>50</v>
      </c>
      <c r="N62" s="85" t="s">
        <v>50</v>
      </c>
      <c r="O62" s="43" t="s">
        <v>50</v>
      </c>
      <c r="P62" s="43" t="s">
        <v>50</v>
      </c>
      <c r="Q62" s="85" t="s">
        <v>50</v>
      </c>
      <c r="R62" s="85" t="s">
        <v>50</v>
      </c>
      <c r="S62" s="85" t="s">
        <v>50</v>
      </c>
      <c r="T62" s="82" t="s">
        <v>50</v>
      </c>
      <c r="U62" s="43" t="s">
        <v>50</v>
      </c>
      <c r="V62" s="43" t="s">
        <v>50</v>
      </c>
      <c r="W62" s="85" t="s">
        <v>50</v>
      </c>
      <c r="X62" s="43" t="s">
        <v>50</v>
      </c>
      <c r="Y62" s="85" t="s">
        <v>50</v>
      </c>
      <c r="Z62" s="85" t="s">
        <v>50</v>
      </c>
      <c r="AA62" s="43" t="s">
        <v>50</v>
      </c>
      <c r="AB62" s="85" t="s">
        <v>50</v>
      </c>
      <c r="AC62" s="85" t="s">
        <v>50</v>
      </c>
      <c r="AD62" s="82" t="s">
        <v>50</v>
      </c>
    </row>
    <row r="63" spans="1:30" x14ac:dyDescent="0.4">
      <c r="A63" s="225"/>
      <c r="B63" s="238"/>
      <c r="C63" s="244"/>
      <c r="D63" s="245"/>
      <c r="E63" s="41" t="s">
        <v>100</v>
      </c>
      <c r="F63" s="41">
        <v>60</v>
      </c>
      <c r="G63" s="41">
        <v>0</v>
      </c>
      <c r="H63" s="42">
        <v>10.5</v>
      </c>
      <c r="I63" s="41">
        <v>5.25</v>
      </c>
      <c r="J63" s="41">
        <v>5.25</v>
      </c>
      <c r="K63" s="74">
        <f>(G48+H48+I48+J48+G49+H49+I49+J49+G62+H62+I62+J62+G63+H63+I63+J63)</f>
        <v>3544.28</v>
      </c>
      <c r="L63" s="74">
        <f t="shared" si="0"/>
        <v>252.32735071907413</v>
      </c>
      <c r="M63" s="69">
        <f t="shared" si="1"/>
        <v>18.616206372885078</v>
      </c>
      <c r="N63" s="67">
        <f t="shared" si="2"/>
        <v>960299.83052988932</v>
      </c>
      <c r="O63" s="69">
        <f t="shared" si="3"/>
        <v>13414.781739099002</v>
      </c>
      <c r="P63" s="69">
        <f t="shared" si="4"/>
        <v>1649.5261980822283</v>
      </c>
      <c r="Q63" s="67">
        <f t="shared" si="5"/>
        <v>15064.307937181231</v>
      </c>
      <c r="R63" s="67">
        <f t="shared" si="6"/>
        <v>83723.315289693885</v>
      </c>
      <c r="S63" s="67">
        <f t="shared" si="7"/>
        <v>1313.3750136660119</v>
      </c>
      <c r="T63" s="80">
        <f t="shared" si="8"/>
        <v>85036.690303359894</v>
      </c>
      <c r="U63" s="75">
        <f>(G48+H48+I48+J48+G49+H49+I49+J49+G62+H62+I62+J62+G63+H63+I63+J63)</f>
        <v>3544.28</v>
      </c>
      <c r="V63" s="43">
        <v>88</v>
      </c>
      <c r="W63" s="85">
        <f t="shared" si="9"/>
        <v>311896.64</v>
      </c>
      <c r="X63" s="43">
        <v>9.64</v>
      </c>
      <c r="Y63" s="85">
        <f t="shared" si="10"/>
        <v>34166.859200000006</v>
      </c>
      <c r="Z63" s="85">
        <f t="shared" si="11"/>
        <v>346063.49920000002</v>
      </c>
      <c r="AA63" s="43">
        <f t="shared" si="12"/>
        <v>3460.6349920000002</v>
      </c>
      <c r="AB63" s="85">
        <f t="shared" si="13"/>
        <v>30171.39286361097</v>
      </c>
      <c r="AC63" s="85">
        <f t="shared" si="14"/>
        <v>301.7139286361097</v>
      </c>
      <c r="AD63" s="82">
        <f t="shared" si="15"/>
        <v>30473.106792247079</v>
      </c>
    </row>
    <row r="64" spans="1:30" x14ac:dyDescent="0.4">
      <c r="A64" s="225"/>
      <c r="B64" s="238"/>
      <c r="C64" s="244"/>
      <c r="D64" s="244" t="s">
        <v>87</v>
      </c>
      <c r="E64" s="31" t="s">
        <v>97</v>
      </c>
      <c r="F64" s="31">
        <v>30</v>
      </c>
      <c r="G64" s="31">
        <v>0</v>
      </c>
      <c r="H64" s="31">
        <v>1140.48</v>
      </c>
      <c r="I64" s="31">
        <v>0</v>
      </c>
      <c r="J64" s="31">
        <v>0</v>
      </c>
      <c r="K64" s="40" t="s">
        <v>50</v>
      </c>
      <c r="L64" s="40" t="s">
        <v>50</v>
      </c>
      <c r="M64" s="40" t="s">
        <v>50</v>
      </c>
      <c r="N64" s="83" t="s">
        <v>50</v>
      </c>
      <c r="O64" s="40" t="s">
        <v>50</v>
      </c>
      <c r="P64" s="40" t="s">
        <v>50</v>
      </c>
      <c r="Q64" s="83" t="s">
        <v>50</v>
      </c>
      <c r="R64" s="83" t="s">
        <v>50</v>
      </c>
      <c r="S64" s="83" t="s">
        <v>50</v>
      </c>
      <c r="T64" s="19" t="s">
        <v>50</v>
      </c>
      <c r="U64" s="40" t="s">
        <v>50</v>
      </c>
      <c r="V64" s="40" t="s">
        <v>50</v>
      </c>
      <c r="W64" s="83" t="s">
        <v>50</v>
      </c>
      <c r="X64" s="40" t="s">
        <v>50</v>
      </c>
      <c r="Y64" s="83" t="s">
        <v>50</v>
      </c>
      <c r="Z64" s="83" t="s">
        <v>50</v>
      </c>
      <c r="AA64" s="40" t="s">
        <v>50</v>
      </c>
      <c r="AB64" s="83" t="s">
        <v>50</v>
      </c>
      <c r="AC64" s="83" t="s">
        <v>50</v>
      </c>
      <c r="AD64" s="19" t="s">
        <v>50</v>
      </c>
    </row>
    <row r="65" spans="1:30" x14ac:dyDescent="0.4">
      <c r="A65" s="225"/>
      <c r="B65" s="238"/>
      <c r="C65" s="244"/>
      <c r="D65" s="244"/>
      <c r="E65" s="31" t="s">
        <v>101</v>
      </c>
      <c r="F65" s="31">
        <v>30</v>
      </c>
      <c r="G65" s="31">
        <v>0</v>
      </c>
      <c r="H65" s="38">
        <v>10.5</v>
      </c>
      <c r="I65" s="31">
        <v>5.25</v>
      </c>
      <c r="J65" s="31">
        <v>5.25</v>
      </c>
      <c r="K65" s="74">
        <f>(G48+H48+I48+J48+G49+H49+I49+J49+G64+H64+I64+J64+G65+H65+I65+J65)</f>
        <v>3544.28</v>
      </c>
      <c r="L65" s="74">
        <f t="shared" si="0"/>
        <v>252.32735071907413</v>
      </c>
      <c r="M65" s="69">
        <f t="shared" si="1"/>
        <v>18.616206372885078</v>
      </c>
      <c r="N65" s="67">
        <f t="shared" si="2"/>
        <v>960299.83052988932</v>
      </c>
      <c r="O65" s="69">
        <f t="shared" si="3"/>
        <v>13414.781739099002</v>
      </c>
      <c r="P65" s="69">
        <f t="shared" si="4"/>
        <v>1649.5261980822283</v>
      </c>
      <c r="Q65" s="67">
        <f t="shared" si="5"/>
        <v>15064.307937181231</v>
      </c>
      <c r="R65" s="67">
        <f t="shared" si="6"/>
        <v>83723.315289693885</v>
      </c>
      <c r="S65" s="67">
        <f t="shared" si="7"/>
        <v>1313.3750136660119</v>
      </c>
      <c r="T65" s="80">
        <f t="shared" si="8"/>
        <v>85036.690303359894</v>
      </c>
      <c r="U65" s="76">
        <f>(G48+H48+I48+J48+G49+H49+I49+J49+G64+H64+I64+J64+G65+H65+I65+J65)</f>
        <v>3544.28</v>
      </c>
      <c r="V65" s="40">
        <v>88</v>
      </c>
      <c r="W65" s="83">
        <f t="shared" si="9"/>
        <v>311896.64</v>
      </c>
      <c r="X65" s="40">
        <v>9.64</v>
      </c>
      <c r="Y65" s="83">
        <f t="shared" si="10"/>
        <v>34166.859200000006</v>
      </c>
      <c r="Z65" s="83">
        <f t="shared" si="11"/>
        <v>346063.49920000002</v>
      </c>
      <c r="AA65" s="40">
        <f t="shared" si="12"/>
        <v>3460.6349920000002</v>
      </c>
      <c r="AB65" s="83">
        <f t="shared" si="13"/>
        <v>30171.39286361097</v>
      </c>
      <c r="AC65" s="83">
        <f t="shared" si="14"/>
        <v>301.7139286361097</v>
      </c>
      <c r="AD65" s="19">
        <f t="shared" si="15"/>
        <v>30473.106792247079</v>
      </c>
    </row>
    <row r="66" spans="1:30" x14ac:dyDescent="0.4">
      <c r="A66" s="225"/>
      <c r="B66" s="238"/>
      <c r="C66" s="244"/>
      <c r="D66" s="245" t="s">
        <v>88</v>
      </c>
      <c r="E66" s="41" t="s">
        <v>97</v>
      </c>
      <c r="F66" s="41">
        <v>30</v>
      </c>
      <c r="G66" s="41">
        <v>0</v>
      </c>
      <c r="H66" s="41">
        <v>1140.48</v>
      </c>
      <c r="I66" s="41">
        <v>0</v>
      </c>
      <c r="J66" s="41">
        <v>0</v>
      </c>
      <c r="K66" s="43" t="s">
        <v>50</v>
      </c>
      <c r="L66" s="43" t="s">
        <v>50</v>
      </c>
      <c r="M66" s="43" t="s">
        <v>50</v>
      </c>
      <c r="N66" s="85" t="s">
        <v>50</v>
      </c>
      <c r="O66" s="43" t="s">
        <v>50</v>
      </c>
      <c r="P66" s="43" t="s">
        <v>50</v>
      </c>
      <c r="Q66" s="85" t="s">
        <v>50</v>
      </c>
      <c r="R66" s="85" t="s">
        <v>50</v>
      </c>
      <c r="S66" s="85" t="s">
        <v>50</v>
      </c>
      <c r="T66" s="82" t="s">
        <v>50</v>
      </c>
      <c r="U66" s="43" t="s">
        <v>50</v>
      </c>
      <c r="V66" s="43" t="s">
        <v>50</v>
      </c>
      <c r="W66" s="85" t="s">
        <v>50</v>
      </c>
      <c r="X66" s="43" t="s">
        <v>50</v>
      </c>
      <c r="Y66" s="85" t="s">
        <v>50</v>
      </c>
      <c r="Z66" s="85" t="s">
        <v>50</v>
      </c>
      <c r="AA66" s="43" t="s">
        <v>50</v>
      </c>
      <c r="AB66" s="85" t="s">
        <v>50</v>
      </c>
      <c r="AC66" s="85" t="s">
        <v>50</v>
      </c>
      <c r="AD66" s="82" t="s">
        <v>50</v>
      </c>
    </row>
    <row r="67" spans="1:30" x14ac:dyDescent="0.4">
      <c r="A67" s="225"/>
      <c r="B67" s="238"/>
      <c r="C67" s="244"/>
      <c r="D67" s="245"/>
      <c r="E67" s="41" t="s">
        <v>102</v>
      </c>
      <c r="F67" s="41">
        <v>0</v>
      </c>
      <c r="G67" s="41">
        <v>0</v>
      </c>
      <c r="H67" s="42">
        <v>10.5</v>
      </c>
      <c r="I67" s="41">
        <v>5.25</v>
      </c>
      <c r="J67" s="41">
        <v>5.25</v>
      </c>
      <c r="K67" s="74">
        <f>(G48+H48+I48+J48+G49+H49+I49+J49+G66+H66+I66+J66+G67+H67+I67+J67)</f>
        <v>3544.28</v>
      </c>
      <c r="L67" s="74">
        <f t="shared" si="0"/>
        <v>252.32735071907413</v>
      </c>
      <c r="M67" s="69">
        <f t="shared" si="1"/>
        <v>18.616206372885078</v>
      </c>
      <c r="N67" s="67">
        <f t="shared" si="2"/>
        <v>960299.83052988932</v>
      </c>
      <c r="O67" s="69">
        <f t="shared" si="3"/>
        <v>13414.781739099002</v>
      </c>
      <c r="P67" s="69">
        <f t="shared" si="4"/>
        <v>1649.5261980822283</v>
      </c>
      <c r="Q67" s="67">
        <f t="shared" si="5"/>
        <v>15064.307937181231</v>
      </c>
      <c r="R67" s="67">
        <f t="shared" si="6"/>
        <v>83723.315289693885</v>
      </c>
      <c r="S67" s="67">
        <f t="shared" si="7"/>
        <v>1313.3750136660119</v>
      </c>
      <c r="T67" s="80">
        <f t="shared" si="8"/>
        <v>85036.690303359894</v>
      </c>
      <c r="U67" s="75">
        <f>(G48+H48+I48+J48+G49+H49+I49+J49+G66+H66+I66+J66+G67+H67+I67+J67)</f>
        <v>3544.28</v>
      </c>
      <c r="V67" s="43">
        <v>88</v>
      </c>
      <c r="W67" s="85">
        <f t="shared" si="9"/>
        <v>311896.64</v>
      </c>
      <c r="X67" s="43">
        <v>9.64</v>
      </c>
      <c r="Y67" s="85">
        <f t="shared" si="10"/>
        <v>34166.859200000006</v>
      </c>
      <c r="Z67" s="85">
        <f t="shared" si="11"/>
        <v>346063.49920000002</v>
      </c>
      <c r="AA67" s="43">
        <f t="shared" si="12"/>
        <v>3460.6349920000002</v>
      </c>
      <c r="AB67" s="85">
        <f t="shared" si="13"/>
        <v>30171.39286361097</v>
      </c>
      <c r="AC67" s="85">
        <f t="shared" si="14"/>
        <v>301.7139286361097</v>
      </c>
      <c r="AD67" s="82">
        <f t="shared" si="15"/>
        <v>30473.106792247079</v>
      </c>
    </row>
    <row r="68" spans="1:30" x14ac:dyDescent="0.4">
      <c r="A68" s="225"/>
      <c r="B68" s="238"/>
      <c r="C68" s="244"/>
      <c r="D68" s="244" t="s">
        <v>89</v>
      </c>
      <c r="E68" s="31" t="s">
        <v>98</v>
      </c>
      <c r="F68" s="31">
        <v>30</v>
      </c>
      <c r="G68" s="31">
        <v>0</v>
      </c>
      <c r="H68" s="31">
        <v>1425.6</v>
      </c>
      <c r="I68" s="31">
        <v>0</v>
      </c>
      <c r="J68" s="31">
        <v>0</v>
      </c>
      <c r="K68" s="40" t="s">
        <v>50</v>
      </c>
      <c r="L68" s="40" t="s">
        <v>50</v>
      </c>
      <c r="M68" s="40" t="s">
        <v>50</v>
      </c>
      <c r="N68" s="83" t="s">
        <v>50</v>
      </c>
      <c r="O68" s="40" t="s">
        <v>50</v>
      </c>
      <c r="P68" s="40" t="s">
        <v>50</v>
      </c>
      <c r="Q68" s="83" t="s">
        <v>50</v>
      </c>
      <c r="R68" s="83" t="s">
        <v>50</v>
      </c>
      <c r="S68" s="83" t="s">
        <v>50</v>
      </c>
      <c r="T68" s="19" t="s">
        <v>50</v>
      </c>
      <c r="U68" s="40" t="s">
        <v>50</v>
      </c>
      <c r="V68" s="40" t="s">
        <v>50</v>
      </c>
      <c r="W68" s="83" t="s">
        <v>50</v>
      </c>
      <c r="X68" s="40" t="s">
        <v>50</v>
      </c>
      <c r="Y68" s="83" t="s">
        <v>50</v>
      </c>
      <c r="Z68" s="83" t="s">
        <v>50</v>
      </c>
      <c r="AA68" s="40" t="s">
        <v>50</v>
      </c>
      <c r="AB68" s="83" t="s">
        <v>50</v>
      </c>
      <c r="AC68" s="83" t="s">
        <v>50</v>
      </c>
      <c r="AD68" s="19" t="s">
        <v>50</v>
      </c>
    </row>
    <row r="69" spans="1:30" x14ac:dyDescent="0.4">
      <c r="A69" s="225"/>
      <c r="B69" s="238"/>
      <c r="C69" s="244"/>
      <c r="D69" s="244"/>
      <c r="E69" s="31" t="s">
        <v>100</v>
      </c>
      <c r="F69" s="31">
        <v>60</v>
      </c>
      <c r="G69" s="31">
        <v>0</v>
      </c>
      <c r="H69" s="38">
        <v>10.5</v>
      </c>
      <c r="I69" s="31">
        <v>5.25</v>
      </c>
      <c r="J69" s="31">
        <v>5.25</v>
      </c>
      <c r="K69" s="74">
        <f>(G48+H48+I48+J48+G49+H49+I49+J49+G68+H68+I68+J68+G69+H69+I69+J69)</f>
        <v>3829.4</v>
      </c>
      <c r="L69" s="74">
        <f t="shared" si="0"/>
        <v>249.7054160505142</v>
      </c>
      <c r="M69" s="69">
        <f t="shared" si="1"/>
        <v>17.640207905070955</v>
      </c>
      <c r="N69" s="67">
        <f t="shared" si="2"/>
        <v>1023773.3323755178</v>
      </c>
      <c r="O69" s="69">
        <f t="shared" si="3"/>
        <v>14343.328803357586</v>
      </c>
      <c r="P69" s="69">
        <f t="shared" si="4"/>
        <v>1688.7853037919681</v>
      </c>
      <c r="Q69" s="67">
        <f t="shared" si="5"/>
        <v>16032.114107149555</v>
      </c>
      <c r="R69" s="67">
        <f t="shared" si="6"/>
        <v>89257.22442787436</v>
      </c>
      <c r="S69" s="67">
        <f t="shared" si="7"/>
        <v>1397.7527658341635</v>
      </c>
      <c r="T69" s="80">
        <f t="shared" si="8"/>
        <v>90654.977193708517</v>
      </c>
      <c r="U69" s="76">
        <f>(G48+H48+I48+J48+G49+H49+I49+J49+G68+H68+I68+J68+G69+H69+I69+J69)</f>
        <v>3829.4</v>
      </c>
      <c r="V69" s="40">
        <v>88</v>
      </c>
      <c r="W69" s="83">
        <f t="shared" si="9"/>
        <v>336987.2</v>
      </c>
      <c r="X69" s="40">
        <v>9.64</v>
      </c>
      <c r="Y69" s="83">
        <f t="shared" si="10"/>
        <v>36915.416000000005</v>
      </c>
      <c r="Z69" s="83">
        <f t="shared" si="11"/>
        <v>373902.61600000004</v>
      </c>
      <c r="AA69" s="40">
        <f t="shared" si="12"/>
        <v>3739.0261600000003</v>
      </c>
      <c r="AB69" s="83">
        <f t="shared" si="13"/>
        <v>32598.533928445795</v>
      </c>
      <c r="AC69" s="83">
        <f t="shared" si="14"/>
        <v>325.98533928445795</v>
      </c>
      <c r="AD69" s="19">
        <f t="shared" si="15"/>
        <v>32924.519267730255</v>
      </c>
    </row>
    <row r="70" spans="1:30" x14ac:dyDescent="0.4">
      <c r="A70" s="225"/>
      <c r="B70" s="238"/>
      <c r="C70" s="244"/>
      <c r="D70" s="245" t="s">
        <v>90</v>
      </c>
      <c r="E70" s="41" t="s">
        <v>98</v>
      </c>
      <c r="F70" s="41">
        <v>30</v>
      </c>
      <c r="G70" s="41">
        <v>0</v>
      </c>
      <c r="H70" s="41">
        <v>1425.6</v>
      </c>
      <c r="I70" s="41">
        <v>0</v>
      </c>
      <c r="J70" s="41">
        <v>0</v>
      </c>
      <c r="K70" s="43" t="s">
        <v>50</v>
      </c>
      <c r="L70" s="43" t="s">
        <v>50</v>
      </c>
      <c r="M70" s="43" t="s">
        <v>50</v>
      </c>
      <c r="N70" s="85" t="s">
        <v>50</v>
      </c>
      <c r="O70" s="43" t="s">
        <v>50</v>
      </c>
      <c r="P70" s="43" t="s">
        <v>50</v>
      </c>
      <c r="Q70" s="85" t="s">
        <v>50</v>
      </c>
      <c r="R70" s="85" t="s">
        <v>50</v>
      </c>
      <c r="S70" s="85" t="s">
        <v>50</v>
      </c>
      <c r="T70" s="82" t="s">
        <v>50</v>
      </c>
      <c r="U70" s="43" t="s">
        <v>50</v>
      </c>
      <c r="V70" s="43" t="s">
        <v>50</v>
      </c>
      <c r="W70" s="85" t="s">
        <v>50</v>
      </c>
      <c r="X70" s="43" t="s">
        <v>50</v>
      </c>
      <c r="Y70" s="85" t="s">
        <v>50</v>
      </c>
      <c r="Z70" s="85" t="s">
        <v>50</v>
      </c>
      <c r="AA70" s="43" t="s">
        <v>50</v>
      </c>
      <c r="AB70" s="85" t="s">
        <v>50</v>
      </c>
      <c r="AC70" s="85" t="s">
        <v>50</v>
      </c>
      <c r="AD70" s="82" t="s">
        <v>50</v>
      </c>
    </row>
    <row r="71" spans="1:30" x14ac:dyDescent="0.4">
      <c r="A71" s="225"/>
      <c r="B71" s="238"/>
      <c r="C71" s="244"/>
      <c r="D71" s="245"/>
      <c r="E71" s="41" t="s">
        <v>101</v>
      </c>
      <c r="F71" s="41">
        <v>30</v>
      </c>
      <c r="G71" s="41">
        <v>0</v>
      </c>
      <c r="H71" s="42">
        <v>10.5</v>
      </c>
      <c r="I71" s="41">
        <v>5.25</v>
      </c>
      <c r="J71" s="41">
        <v>5.25</v>
      </c>
      <c r="K71" s="74">
        <f>(G48+H48+I48+J48+G49+H49+I49+J49+G70+H70+I70+J70+G71+H71+I71+J71)</f>
        <v>3829.4</v>
      </c>
      <c r="L71" s="74">
        <f t="shared" ref="L71:L79" si="16">760.59*(K71)^-0.135</f>
        <v>249.7054160505142</v>
      </c>
      <c r="M71" s="69">
        <f t="shared" ref="M71:M79" si="17">5500*(K71)^-0.696</f>
        <v>17.640207905070955</v>
      </c>
      <c r="N71" s="67">
        <f t="shared" ref="N71:N79" si="18">K71*(L71+M71)</f>
        <v>1023773.3323755178</v>
      </c>
      <c r="O71" s="69">
        <f t="shared" ref="O71:O79" si="19">0.015*K71*L71</f>
        <v>14343.328803357586</v>
      </c>
      <c r="P71" s="69">
        <f t="shared" ref="P71:P79" si="20">0.025*K71*M71</f>
        <v>1688.7853037919681</v>
      </c>
      <c r="Q71" s="67">
        <f t="shared" ref="Q71:Q79" si="21">O71+P71</f>
        <v>16032.114107149555</v>
      </c>
      <c r="R71" s="67">
        <f t="shared" ref="R71:R79" si="22">N71*((0.06*(1+0.06)^20)/((1+0.06)^20-1))</f>
        <v>89257.22442787436</v>
      </c>
      <c r="S71" s="67">
        <f t="shared" ref="S71:S79" si="23">Q71*((0.06*(1+0.06)^20)/((1+0.06)^20-1))</f>
        <v>1397.7527658341635</v>
      </c>
      <c r="T71" s="80">
        <f t="shared" ref="T71:T79" si="24">R71+S71</f>
        <v>90654.977193708517</v>
      </c>
      <c r="U71" s="75">
        <f>(G48+H48+I48+J48+G49+H49+I49+J49+G70+H70+I70+J70+G71+H71+I71+J71)</f>
        <v>3829.4</v>
      </c>
      <c r="V71" s="43">
        <v>88</v>
      </c>
      <c r="W71" s="85">
        <f t="shared" ref="W71:W79" si="25">U71*V71</f>
        <v>336987.2</v>
      </c>
      <c r="X71" s="43">
        <v>9.64</v>
      </c>
      <c r="Y71" s="85">
        <f t="shared" ref="Y71:Y79" si="26">U71*X71</f>
        <v>36915.416000000005</v>
      </c>
      <c r="Z71" s="85">
        <f t="shared" ref="Z71:Z79" si="27">W71+Y71</f>
        <v>373902.61600000004</v>
      </c>
      <c r="AA71" s="43">
        <f t="shared" ref="AA71:AA79" si="28">0.01*Z71</f>
        <v>3739.0261600000003</v>
      </c>
      <c r="AB71" s="85">
        <f t="shared" ref="AB71:AB79" si="29">Z71*((0.06*(1+0.06)^20)/((1+0.06)^20-1))</f>
        <v>32598.533928445795</v>
      </c>
      <c r="AC71" s="85">
        <f t="shared" ref="AC71:AC79" si="30">AA71*((0.06*(1+0.06)^20)/((1+0.06)^20-1))</f>
        <v>325.98533928445795</v>
      </c>
      <c r="AD71" s="82">
        <f t="shared" ref="AD71:AD79" si="31">AB71+AC71</f>
        <v>32924.519267730255</v>
      </c>
    </row>
    <row r="72" spans="1:30" x14ac:dyDescent="0.4">
      <c r="A72" s="225"/>
      <c r="B72" s="238"/>
      <c r="C72" s="244"/>
      <c r="D72" s="244" t="s">
        <v>91</v>
      </c>
      <c r="E72" s="31" t="s">
        <v>98</v>
      </c>
      <c r="F72" s="31">
        <v>30</v>
      </c>
      <c r="G72" s="31">
        <v>0</v>
      </c>
      <c r="H72" s="31">
        <v>1425.6</v>
      </c>
      <c r="I72" s="31">
        <v>0</v>
      </c>
      <c r="J72" s="31">
        <v>0</v>
      </c>
      <c r="K72" s="40" t="s">
        <v>50</v>
      </c>
      <c r="L72" s="40" t="s">
        <v>50</v>
      </c>
      <c r="M72" s="40" t="s">
        <v>50</v>
      </c>
      <c r="N72" s="83" t="s">
        <v>50</v>
      </c>
      <c r="O72" s="40" t="s">
        <v>50</v>
      </c>
      <c r="P72" s="40" t="s">
        <v>50</v>
      </c>
      <c r="Q72" s="83" t="s">
        <v>50</v>
      </c>
      <c r="R72" s="83" t="s">
        <v>50</v>
      </c>
      <c r="S72" s="83" t="s">
        <v>50</v>
      </c>
      <c r="T72" s="19" t="s">
        <v>50</v>
      </c>
      <c r="U72" s="40" t="s">
        <v>50</v>
      </c>
      <c r="V72" s="40" t="s">
        <v>50</v>
      </c>
      <c r="W72" s="83" t="s">
        <v>50</v>
      </c>
      <c r="X72" s="40" t="s">
        <v>50</v>
      </c>
      <c r="Y72" s="83" t="s">
        <v>50</v>
      </c>
      <c r="Z72" s="83" t="s">
        <v>50</v>
      </c>
      <c r="AA72" s="40" t="s">
        <v>50</v>
      </c>
      <c r="AB72" s="83" t="s">
        <v>50</v>
      </c>
      <c r="AC72" s="83" t="s">
        <v>50</v>
      </c>
      <c r="AD72" s="19" t="s">
        <v>50</v>
      </c>
    </row>
    <row r="73" spans="1:30" x14ac:dyDescent="0.4">
      <c r="A73" s="225"/>
      <c r="B73" s="238"/>
      <c r="C73" s="244"/>
      <c r="D73" s="244"/>
      <c r="E73" s="31" t="s">
        <v>102</v>
      </c>
      <c r="F73" s="31">
        <v>0</v>
      </c>
      <c r="G73" s="31">
        <v>0</v>
      </c>
      <c r="H73" s="38">
        <v>10.5</v>
      </c>
      <c r="I73" s="31">
        <v>5.25</v>
      </c>
      <c r="J73" s="31">
        <v>5.25</v>
      </c>
      <c r="K73" s="74">
        <f>(G48+H48+I48+J48+G49+H49+I49+J49+G72+H72+I72+J72+G73+H73+I73+J73)</f>
        <v>3829.4</v>
      </c>
      <c r="L73" s="74">
        <f t="shared" si="16"/>
        <v>249.7054160505142</v>
      </c>
      <c r="M73" s="69">
        <f t="shared" si="17"/>
        <v>17.640207905070955</v>
      </c>
      <c r="N73" s="67">
        <f t="shared" si="18"/>
        <v>1023773.3323755178</v>
      </c>
      <c r="O73" s="69">
        <f t="shared" si="19"/>
        <v>14343.328803357586</v>
      </c>
      <c r="P73" s="69">
        <f t="shared" si="20"/>
        <v>1688.7853037919681</v>
      </c>
      <c r="Q73" s="67">
        <f t="shared" si="21"/>
        <v>16032.114107149555</v>
      </c>
      <c r="R73" s="67">
        <f t="shared" si="22"/>
        <v>89257.22442787436</v>
      </c>
      <c r="S73" s="67">
        <f t="shared" si="23"/>
        <v>1397.7527658341635</v>
      </c>
      <c r="T73" s="80">
        <f t="shared" si="24"/>
        <v>90654.977193708517</v>
      </c>
      <c r="U73" s="76">
        <f>(G48+H48+I48+J48+G49+H49+I49+J49+G72+H72+I72+J72+G73+H73+I73+J73)</f>
        <v>3829.4</v>
      </c>
      <c r="V73" s="40">
        <v>88</v>
      </c>
      <c r="W73" s="83">
        <f t="shared" si="25"/>
        <v>336987.2</v>
      </c>
      <c r="X73" s="40">
        <v>9.64</v>
      </c>
      <c r="Y73" s="83">
        <f t="shared" si="26"/>
        <v>36915.416000000005</v>
      </c>
      <c r="Z73" s="83">
        <f t="shared" si="27"/>
        <v>373902.61600000004</v>
      </c>
      <c r="AA73" s="40">
        <f t="shared" si="28"/>
        <v>3739.0261600000003</v>
      </c>
      <c r="AB73" s="83">
        <f t="shared" si="29"/>
        <v>32598.533928445795</v>
      </c>
      <c r="AC73" s="83">
        <f t="shared" si="30"/>
        <v>325.98533928445795</v>
      </c>
      <c r="AD73" s="19">
        <f t="shared" si="31"/>
        <v>32924.519267730255</v>
      </c>
    </row>
    <row r="74" spans="1:30" x14ac:dyDescent="0.4">
      <c r="A74" s="225"/>
      <c r="B74" s="238"/>
      <c r="C74" s="244"/>
      <c r="D74" s="245" t="s">
        <v>92</v>
      </c>
      <c r="E74" s="41" t="s">
        <v>99</v>
      </c>
      <c r="F74" s="41">
        <v>30</v>
      </c>
      <c r="G74" s="41">
        <v>0</v>
      </c>
      <c r="H74" s="41">
        <v>1710.72</v>
      </c>
      <c r="I74" s="41">
        <v>0</v>
      </c>
      <c r="J74" s="41">
        <v>0</v>
      </c>
      <c r="K74" s="43" t="s">
        <v>50</v>
      </c>
      <c r="L74" s="43" t="s">
        <v>50</v>
      </c>
      <c r="M74" s="43" t="s">
        <v>50</v>
      </c>
      <c r="N74" s="85" t="s">
        <v>50</v>
      </c>
      <c r="O74" s="43" t="s">
        <v>50</v>
      </c>
      <c r="P74" s="43" t="s">
        <v>50</v>
      </c>
      <c r="Q74" s="85" t="s">
        <v>50</v>
      </c>
      <c r="R74" s="85" t="s">
        <v>50</v>
      </c>
      <c r="S74" s="85" t="s">
        <v>50</v>
      </c>
      <c r="T74" s="82" t="s">
        <v>50</v>
      </c>
      <c r="U74" s="43" t="s">
        <v>50</v>
      </c>
      <c r="V74" s="43" t="s">
        <v>50</v>
      </c>
      <c r="W74" s="85" t="s">
        <v>50</v>
      </c>
      <c r="X74" s="43" t="s">
        <v>50</v>
      </c>
      <c r="Y74" s="85" t="s">
        <v>50</v>
      </c>
      <c r="Z74" s="85" t="s">
        <v>50</v>
      </c>
      <c r="AA74" s="43" t="s">
        <v>50</v>
      </c>
      <c r="AB74" s="85" t="s">
        <v>50</v>
      </c>
      <c r="AC74" s="85" t="s">
        <v>50</v>
      </c>
      <c r="AD74" s="82" t="s">
        <v>50</v>
      </c>
    </row>
    <row r="75" spans="1:30" x14ac:dyDescent="0.4">
      <c r="A75" s="225"/>
      <c r="B75" s="238"/>
      <c r="C75" s="244"/>
      <c r="D75" s="245"/>
      <c r="E75" s="41" t="s">
        <v>100</v>
      </c>
      <c r="F75" s="41">
        <v>60</v>
      </c>
      <c r="G75" s="41">
        <v>0</v>
      </c>
      <c r="H75" s="42">
        <v>10.5</v>
      </c>
      <c r="I75" s="41">
        <v>5.25</v>
      </c>
      <c r="J75" s="41">
        <v>5.25</v>
      </c>
      <c r="K75" s="74">
        <f>(G48+H48+I48+J48+G49+H49+I49+J49+G74+H74+I74+J74+G75+H75+I75+J75)</f>
        <v>4114.5200000000004</v>
      </c>
      <c r="L75" s="74">
        <f t="shared" si="16"/>
        <v>247.29624509450977</v>
      </c>
      <c r="M75" s="69">
        <f t="shared" si="17"/>
        <v>16.78017716579863</v>
      </c>
      <c r="N75" s="67">
        <f t="shared" si="18"/>
        <v>1086547.7209184843</v>
      </c>
      <c r="O75" s="69">
        <f t="shared" si="19"/>
        <v>15262.580195493936</v>
      </c>
      <c r="P75" s="69">
        <f t="shared" si="20"/>
        <v>1726.0593638055448</v>
      </c>
      <c r="Q75" s="67">
        <f t="shared" si="21"/>
        <v>16988.639559299481</v>
      </c>
      <c r="R75" s="67">
        <f t="shared" si="22"/>
        <v>94730.181682485621</v>
      </c>
      <c r="S75" s="67">
        <f t="shared" si="23"/>
        <v>1481.1470136169373</v>
      </c>
      <c r="T75" s="80">
        <f t="shared" si="24"/>
        <v>96211.328696102559</v>
      </c>
      <c r="U75" s="74">
        <f>(G48+H48+I48+J48+G49+H49+I49+J49+G74+H74+I74+J74+G75+H75+I75+J75)</f>
        <v>4114.5200000000004</v>
      </c>
      <c r="V75" s="69">
        <v>88</v>
      </c>
      <c r="W75" s="67">
        <f t="shared" si="25"/>
        <v>362077.76</v>
      </c>
      <c r="X75" s="69">
        <v>9.64</v>
      </c>
      <c r="Y75" s="67">
        <f t="shared" si="26"/>
        <v>39663.972800000003</v>
      </c>
      <c r="Z75" s="67">
        <f t="shared" si="27"/>
        <v>401741.7328</v>
      </c>
      <c r="AA75" s="69">
        <f t="shared" si="28"/>
        <v>4017.417328</v>
      </c>
      <c r="AB75" s="67">
        <f t="shared" si="29"/>
        <v>35025.674993280612</v>
      </c>
      <c r="AC75" s="67">
        <f t="shared" si="30"/>
        <v>350.25674993280609</v>
      </c>
      <c r="AD75" s="80">
        <f t="shared" si="31"/>
        <v>35375.931743213419</v>
      </c>
    </row>
    <row r="76" spans="1:30" x14ac:dyDescent="0.4">
      <c r="A76" s="225"/>
      <c r="B76" s="238"/>
      <c r="C76" s="244"/>
      <c r="D76" s="244" t="s">
        <v>93</v>
      </c>
      <c r="E76" s="31" t="s">
        <v>99</v>
      </c>
      <c r="F76" s="31">
        <v>30</v>
      </c>
      <c r="G76" s="31">
        <v>0</v>
      </c>
      <c r="H76" s="31">
        <v>1710.72</v>
      </c>
      <c r="I76" s="31">
        <v>0</v>
      </c>
      <c r="J76" s="31">
        <v>0</v>
      </c>
      <c r="K76" s="40" t="s">
        <v>50</v>
      </c>
      <c r="L76" s="40" t="s">
        <v>50</v>
      </c>
      <c r="M76" s="40" t="s">
        <v>50</v>
      </c>
      <c r="N76" s="83" t="s">
        <v>50</v>
      </c>
      <c r="O76" s="40" t="s">
        <v>50</v>
      </c>
      <c r="P76" s="40" t="s">
        <v>50</v>
      </c>
      <c r="Q76" s="83" t="s">
        <v>50</v>
      </c>
      <c r="R76" s="83" t="s">
        <v>50</v>
      </c>
      <c r="S76" s="83" t="s">
        <v>50</v>
      </c>
      <c r="T76" s="19" t="s">
        <v>50</v>
      </c>
      <c r="U76" s="40" t="s">
        <v>50</v>
      </c>
      <c r="V76" s="40" t="s">
        <v>50</v>
      </c>
      <c r="W76" s="83" t="s">
        <v>50</v>
      </c>
      <c r="X76" s="40" t="s">
        <v>50</v>
      </c>
      <c r="Y76" s="83" t="s">
        <v>50</v>
      </c>
      <c r="Z76" s="83" t="s">
        <v>50</v>
      </c>
      <c r="AA76" s="40" t="s">
        <v>50</v>
      </c>
      <c r="AB76" s="83" t="s">
        <v>50</v>
      </c>
      <c r="AC76" s="83" t="s">
        <v>50</v>
      </c>
      <c r="AD76" s="19" t="s">
        <v>50</v>
      </c>
    </row>
    <row r="77" spans="1:30" x14ac:dyDescent="0.4">
      <c r="A77" s="225"/>
      <c r="B77" s="238"/>
      <c r="C77" s="244"/>
      <c r="D77" s="244"/>
      <c r="E77" s="31" t="s">
        <v>101</v>
      </c>
      <c r="F77" s="31">
        <v>30</v>
      </c>
      <c r="G77" s="31">
        <v>0</v>
      </c>
      <c r="H77" s="38">
        <v>10.5</v>
      </c>
      <c r="I77" s="31">
        <v>5.25</v>
      </c>
      <c r="J77" s="31">
        <v>5.25</v>
      </c>
      <c r="K77" s="74">
        <f>(G48+H48+I48+J48+G49+H49+I49+J49+G76+H76+I76+J76+G77+H77+I77+J77)</f>
        <v>4114.5200000000004</v>
      </c>
      <c r="L77" s="74">
        <f t="shared" si="16"/>
        <v>247.29624509450977</v>
      </c>
      <c r="M77" s="69">
        <f t="shared" si="17"/>
        <v>16.78017716579863</v>
      </c>
      <c r="N77" s="67">
        <f t="shared" si="18"/>
        <v>1086547.7209184843</v>
      </c>
      <c r="O77" s="69">
        <f t="shared" si="19"/>
        <v>15262.580195493936</v>
      </c>
      <c r="P77" s="69">
        <f t="shared" si="20"/>
        <v>1726.0593638055448</v>
      </c>
      <c r="Q77" s="67">
        <f t="shared" si="21"/>
        <v>16988.639559299481</v>
      </c>
      <c r="R77" s="67">
        <f t="shared" si="22"/>
        <v>94730.181682485621</v>
      </c>
      <c r="S77" s="67">
        <f t="shared" si="23"/>
        <v>1481.1470136169373</v>
      </c>
      <c r="T77" s="80">
        <f t="shared" si="24"/>
        <v>96211.328696102559</v>
      </c>
      <c r="U77" s="74">
        <f>(G48+H48+I48+J48+G49+H49+I49+J49+G76+H76+I76+J76+G77+H77+I77+J77)</f>
        <v>4114.5200000000004</v>
      </c>
      <c r="V77" s="69">
        <v>88</v>
      </c>
      <c r="W77" s="67">
        <f t="shared" si="25"/>
        <v>362077.76</v>
      </c>
      <c r="X77" s="69">
        <v>9.64</v>
      </c>
      <c r="Y77" s="67">
        <f t="shared" si="26"/>
        <v>39663.972800000003</v>
      </c>
      <c r="Z77" s="67">
        <f t="shared" si="27"/>
        <v>401741.7328</v>
      </c>
      <c r="AA77" s="69">
        <f t="shared" si="28"/>
        <v>4017.417328</v>
      </c>
      <c r="AB77" s="67">
        <f t="shared" si="29"/>
        <v>35025.674993280612</v>
      </c>
      <c r="AC77" s="67">
        <f t="shared" si="30"/>
        <v>350.25674993280609</v>
      </c>
      <c r="AD77" s="80">
        <f t="shared" si="31"/>
        <v>35375.931743213419</v>
      </c>
    </row>
    <row r="78" spans="1:30" x14ac:dyDescent="0.4">
      <c r="A78" s="225"/>
      <c r="B78" s="238"/>
      <c r="C78" s="244"/>
      <c r="D78" s="245" t="s">
        <v>94</v>
      </c>
      <c r="E78" s="41" t="s">
        <v>99</v>
      </c>
      <c r="F78" s="41">
        <v>30</v>
      </c>
      <c r="G78" s="41">
        <v>0</v>
      </c>
      <c r="H78" s="41">
        <v>1710.72</v>
      </c>
      <c r="I78" s="41">
        <v>0</v>
      </c>
      <c r="J78" s="41">
        <v>0</v>
      </c>
      <c r="K78" s="43" t="s">
        <v>50</v>
      </c>
      <c r="L78" s="43" t="s">
        <v>50</v>
      </c>
      <c r="M78" s="43" t="s">
        <v>50</v>
      </c>
      <c r="N78" s="85" t="s">
        <v>50</v>
      </c>
      <c r="O78" s="43" t="s">
        <v>50</v>
      </c>
      <c r="P78" s="43" t="s">
        <v>50</v>
      </c>
      <c r="Q78" s="85" t="s">
        <v>50</v>
      </c>
      <c r="R78" s="85" t="s">
        <v>50</v>
      </c>
      <c r="S78" s="85" t="s">
        <v>50</v>
      </c>
      <c r="T78" s="82" t="s">
        <v>50</v>
      </c>
      <c r="U78" s="43" t="s">
        <v>50</v>
      </c>
      <c r="V78" s="43" t="s">
        <v>50</v>
      </c>
      <c r="W78" s="85" t="s">
        <v>50</v>
      </c>
      <c r="X78" s="43" t="s">
        <v>50</v>
      </c>
      <c r="Y78" s="85" t="s">
        <v>50</v>
      </c>
      <c r="Z78" s="85" t="s">
        <v>50</v>
      </c>
      <c r="AA78" s="43" t="s">
        <v>50</v>
      </c>
      <c r="AB78" s="85" t="s">
        <v>50</v>
      </c>
      <c r="AC78" s="85" t="s">
        <v>50</v>
      </c>
      <c r="AD78" s="82" t="s">
        <v>50</v>
      </c>
    </row>
    <row r="79" spans="1:30" x14ac:dyDescent="0.4">
      <c r="A79" s="226"/>
      <c r="B79" s="239"/>
      <c r="C79" s="244"/>
      <c r="D79" s="245"/>
      <c r="E79" s="41" t="s">
        <v>103</v>
      </c>
      <c r="F79" s="41">
        <v>0</v>
      </c>
      <c r="G79" s="41">
        <v>0</v>
      </c>
      <c r="H79" s="42">
        <v>10.5</v>
      </c>
      <c r="I79" s="41">
        <v>5.25</v>
      </c>
      <c r="J79" s="41">
        <v>5.25</v>
      </c>
      <c r="K79" s="74">
        <f>(G48+H48+I48+J48+G49+H49+I49+J49+G78+H78+I78+J78+G79+H79+I79+J79)</f>
        <v>4114.5200000000004</v>
      </c>
      <c r="L79" s="74">
        <f t="shared" si="16"/>
        <v>247.29624509450977</v>
      </c>
      <c r="M79" s="69">
        <f t="shared" si="17"/>
        <v>16.78017716579863</v>
      </c>
      <c r="N79" s="67">
        <f t="shared" si="18"/>
        <v>1086547.7209184843</v>
      </c>
      <c r="O79" s="69">
        <f t="shared" si="19"/>
        <v>15262.580195493936</v>
      </c>
      <c r="P79" s="69">
        <f t="shared" si="20"/>
        <v>1726.0593638055448</v>
      </c>
      <c r="Q79" s="67">
        <f t="shared" si="21"/>
        <v>16988.639559299481</v>
      </c>
      <c r="R79" s="67">
        <f t="shared" si="22"/>
        <v>94730.181682485621</v>
      </c>
      <c r="S79" s="67">
        <f t="shared" si="23"/>
        <v>1481.1470136169373</v>
      </c>
      <c r="T79" s="80">
        <f t="shared" si="24"/>
        <v>96211.328696102559</v>
      </c>
      <c r="U79" s="74">
        <f>(G48+H48+I48+J48+G49+H49+I49+J49+G78+H78+I78+J78+G79+H79+I79+J79)</f>
        <v>4114.5200000000004</v>
      </c>
      <c r="V79" s="69">
        <v>88</v>
      </c>
      <c r="W79" s="67">
        <f t="shared" si="25"/>
        <v>362077.76</v>
      </c>
      <c r="X79" s="69">
        <v>9.64</v>
      </c>
      <c r="Y79" s="67">
        <f t="shared" si="26"/>
        <v>39663.972800000003</v>
      </c>
      <c r="Z79" s="67">
        <f t="shared" si="27"/>
        <v>401741.7328</v>
      </c>
      <c r="AA79" s="69">
        <f t="shared" si="28"/>
        <v>4017.417328</v>
      </c>
      <c r="AB79" s="67">
        <f t="shared" si="29"/>
        <v>35025.674993280612</v>
      </c>
      <c r="AC79" s="67">
        <f t="shared" si="30"/>
        <v>350.25674993280609</v>
      </c>
      <c r="AD79" s="80">
        <f t="shared" si="31"/>
        <v>35375.931743213419</v>
      </c>
    </row>
    <row r="80" spans="1:30" x14ac:dyDescent="0.4">
      <c r="B80" s="5"/>
      <c r="C80" s="5"/>
      <c r="D80" s="5"/>
      <c r="E80" s="5"/>
      <c r="F80" s="5"/>
      <c r="G80" s="5"/>
      <c r="H80" s="5"/>
      <c r="I80" s="5"/>
      <c r="J80" s="5"/>
      <c r="P80" s="81"/>
      <c r="Q80" s="81"/>
      <c r="R80" s="81"/>
      <c r="S80" s="81"/>
    </row>
    <row r="81" spans="16:19" x14ac:dyDescent="0.4">
      <c r="P81" s="81"/>
      <c r="Q81" s="81"/>
      <c r="R81" s="81"/>
      <c r="S81" s="81"/>
    </row>
    <row r="82" spans="16:19" x14ac:dyDescent="0.4">
      <c r="P82" s="81"/>
      <c r="Q82" s="81"/>
      <c r="R82" s="81"/>
      <c r="S82" s="81"/>
    </row>
    <row r="83" spans="16:19" x14ac:dyDescent="0.4">
      <c r="P83" s="81"/>
      <c r="Q83" s="81"/>
      <c r="R83" s="81"/>
      <c r="S83" s="81"/>
    </row>
    <row r="84" spans="16:19" x14ac:dyDescent="0.4">
      <c r="P84" s="81"/>
      <c r="Q84" s="81"/>
      <c r="R84" s="81"/>
      <c r="S84" s="81"/>
    </row>
    <row r="85" spans="16:19" x14ac:dyDescent="0.4">
      <c r="P85" s="81"/>
      <c r="Q85" s="81"/>
      <c r="R85" s="81"/>
      <c r="S85" s="81"/>
    </row>
    <row r="86" spans="16:19" x14ac:dyDescent="0.4">
      <c r="P86" s="81"/>
      <c r="Q86" s="81"/>
      <c r="R86" s="81"/>
      <c r="S86" s="81"/>
    </row>
    <row r="87" spans="16:19" x14ac:dyDescent="0.4">
      <c r="P87" s="81"/>
      <c r="Q87" s="81"/>
      <c r="R87" s="81"/>
      <c r="S87" s="81"/>
    </row>
  </sheetData>
  <mergeCells count="65">
    <mergeCell ref="A2:A5"/>
    <mergeCell ref="B2:B5"/>
    <mergeCell ref="C2:E5"/>
    <mergeCell ref="F3:F5"/>
    <mergeCell ref="G3:J3"/>
    <mergeCell ref="K3:T3"/>
    <mergeCell ref="K4:T4"/>
    <mergeCell ref="U4:AD4"/>
    <mergeCell ref="U3:AD3"/>
    <mergeCell ref="F2:AD2"/>
    <mergeCell ref="D8:E8"/>
    <mergeCell ref="D9:E9"/>
    <mergeCell ref="D10:E10"/>
    <mergeCell ref="A11:A79"/>
    <mergeCell ref="B11:B16"/>
    <mergeCell ref="C11:E11"/>
    <mergeCell ref="C12:C16"/>
    <mergeCell ref="D12:E12"/>
    <mergeCell ref="D13:E13"/>
    <mergeCell ref="D14:E14"/>
    <mergeCell ref="A6:A10"/>
    <mergeCell ref="B6:B10"/>
    <mergeCell ref="C6:C10"/>
    <mergeCell ref="D6:E6"/>
    <mergeCell ref="D7:E7"/>
    <mergeCell ref="D38:D39"/>
    <mergeCell ref="D15:E15"/>
    <mergeCell ref="D16:E16"/>
    <mergeCell ref="B17:B47"/>
    <mergeCell ref="C17:E17"/>
    <mergeCell ref="C18:C47"/>
    <mergeCell ref="D18:D19"/>
    <mergeCell ref="D20:D21"/>
    <mergeCell ref="D22:D23"/>
    <mergeCell ref="D24:D25"/>
    <mergeCell ref="D26:D27"/>
    <mergeCell ref="D28:D29"/>
    <mergeCell ref="D30:D31"/>
    <mergeCell ref="D32:D33"/>
    <mergeCell ref="D34:D35"/>
    <mergeCell ref="D36:D37"/>
    <mergeCell ref="D40:D41"/>
    <mergeCell ref="D42:D43"/>
    <mergeCell ref="D44:D45"/>
    <mergeCell ref="D46:D47"/>
    <mergeCell ref="B48:B79"/>
    <mergeCell ref="C48:C49"/>
    <mergeCell ref="D48:E48"/>
    <mergeCell ref="D49:E49"/>
    <mergeCell ref="C50:C79"/>
    <mergeCell ref="D50:D51"/>
    <mergeCell ref="D76:D77"/>
    <mergeCell ref="D78:D79"/>
    <mergeCell ref="D64:D65"/>
    <mergeCell ref="D66:D67"/>
    <mergeCell ref="D68:D69"/>
    <mergeCell ref="D70:D71"/>
    <mergeCell ref="D72:D73"/>
    <mergeCell ref="D74:D75"/>
    <mergeCell ref="D52:D53"/>
    <mergeCell ref="D54:D55"/>
    <mergeCell ref="D56:D57"/>
    <mergeCell ref="D58:D59"/>
    <mergeCell ref="D60:D61"/>
    <mergeCell ref="D62:D6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A93D1-7982-4BCC-A8AD-08EEAA50C497}">
  <dimension ref="A1:S85"/>
  <sheetViews>
    <sheetView topLeftCell="F1" zoomScale="40" zoomScaleNormal="40" workbookViewId="0">
      <selection activeCell="L86" sqref="L86"/>
    </sheetView>
  </sheetViews>
  <sheetFormatPr defaultRowHeight="14.6" x14ac:dyDescent="0.4"/>
  <cols>
    <col min="1" max="1" width="18.765625" bestFit="1" customWidth="1"/>
    <col min="2" max="2" width="233.07421875" bestFit="1" customWidth="1"/>
    <col min="3" max="3" width="58" bestFit="1" customWidth="1"/>
    <col min="4" max="4" width="9.53515625" bestFit="1" customWidth="1"/>
    <col min="5" max="5" width="26.07421875" bestFit="1" customWidth="1"/>
    <col min="6" max="6" width="66.3046875" bestFit="1" customWidth="1"/>
    <col min="7" max="7" width="44.69140625" customWidth="1"/>
    <col min="8" max="8" width="46.69140625" customWidth="1"/>
    <col min="9" max="9" width="36.15234375" customWidth="1"/>
    <col min="10" max="10" width="79.921875" customWidth="1"/>
    <col min="11" max="11" width="54" customWidth="1"/>
    <col min="12" max="12" width="70.07421875" bestFit="1" customWidth="1"/>
    <col min="13" max="13" width="52.4609375" customWidth="1"/>
    <col min="14" max="14" width="84.07421875" customWidth="1"/>
    <col min="15" max="15" width="65.61328125" customWidth="1"/>
    <col min="16" max="16" width="50.3046875" bestFit="1" customWidth="1"/>
    <col min="17" max="17" width="92.3046875" bestFit="1" customWidth="1"/>
    <col min="18" max="18" width="83.3046875" bestFit="1" customWidth="1"/>
    <col min="19" max="19" width="103.765625" bestFit="1" customWidth="1"/>
  </cols>
  <sheetData>
    <row r="1" spans="1:19" x14ac:dyDescent="0.4">
      <c r="F1" s="77" t="s">
        <v>172</v>
      </c>
      <c r="G1" s="86"/>
      <c r="H1" s="86"/>
      <c r="I1" s="86"/>
      <c r="J1" s="86"/>
      <c r="K1" s="86"/>
      <c r="L1" s="87"/>
    </row>
    <row r="2" spans="1:19" x14ac:dyDescent="0.4">
      <c r="A2" s="197" t="s">
        <v>66</v>
      </c>
      <c r="B2" s="198" t="s">
        <v>52</v>
      </c>
      <c r="C2" s="201" t="s">
        <v>78</v>
      </c>
      <c r="D2" s="202"/>
      <c r="E2" s="203"/>
      <c r="F2" s="197" t="s">
        <v>51</v>
      </c>
      <c r="G2" s="197"/>
      <c r="H2" s="197"/>
      <c r="I2" s="197"/>
      <c r="J2" s="197"/>
      <c r="K2" s="197"/>
      <c r="L2" s="197"/>
      <c r="M2" s="197"/>
      <c r="N2" s="197"/>
      <c r="O2" s="197"/>
      <c r="P2" s="197"/>
      <c r="Q2" s="197"/>
      <c r="R2" s="197"/>
      <c r="S2" s="197"/>
    </row>
    <row r="3" spans="1:19" x14ac:dyDescent="0.4">
      <c r="A3" s="197"/>
      <c r="B3" s="199"/>
      <c r="C3" s="204"/>
      <c r="D3" s="205"/>
      <c r="E3" s="206"/>
      <c r="F3" s="257" t="s">
        <v>48</v>
      </c>
      <c r="G3" s="258"/>
      <c r="H3" s="258"/>
      <c r="I3" s="258"/>
      <c r="J3" s="258"/>
      <c r="K3" s="258"/>
      <c r="L3" s="259"/>
      <c r="M3" s="251" t="s">
        <v>49</v>
      </c>
      <c r="N3" s="251"/>
      <c r="O3" s="251"/>
      <c r="P3" s="251"/>
      <c r="Q3" s="251"/>
      <c r="R3" s="251"/>
      <c r="S3" s="251"/>
    </row>
    <row r="4" spans="1:19" x14ac:dyDescent="0.4">
      <c r="A4" s="197"/>
      <c r="B4" s="199"/>
      <c r="C4" s="204"/>
      <c r="D4" s="205"/>
      <c r="E4" s="206"/>
      <c r="F4" s="211" t="s">
        <v>61</v>
      </c>
      <c r="G4" s="211"/>
      <c r="H4" s="211"/>
      <c r="I4" s="211"/>
      <c r="J4" s="211"/>
      <c r="K4" s="211"/>
      <c r="L4" s="212"/>
      <c r="M4" s="251" t="s">
        <v>64</v>
      </c>
      <c r="N4" s="251"/>
      <c r="O4" s="251"/>
      <c r="P4" s="251"/>
      <c r="Q4" s="251"/>
      <c r="R4" s="251"/>
      <c r="S4" s="251"/>
    </row>
    <row r="5" spans="1:19" x14ac:dyDescent="0.4">
      <c r="A5" s="197"/>
      <c r="B5" s="200"/>
      <c r="C5" s="207"/>
      <c r="D5" s="208"/>
      <c r="E5" s="209"/>
      <c r="F5" s="61" t="s">
        <v>123</v>
      </c>
      <c r="G5" s="61" t="s">
        <v>124</v>
      </c>
      <c r="H5" s="61" t="s">
        <v>125</v>
      </c>
      <c r="I5" s="61" t="s">
        <v>129</v>
      </c>
      <c r="J5" s="60" t="s">
        <v>126</v>
      </c>
      <c r="K5" s="61" t="s">
        <v>127</v>
      </c>
      <c r="L5" s="61" t="s">
        <v>128</v>
      </c>
      <c r="M5" s="92" t="s">
        <v>123</v>
      </c>
      <c r="N5" s="61" t="s">
        <v>130</v>
      </c>
      <c r="O5" s="61" t="s">
        <v>131</v>
      </c>
      <c r="P5" s="61" t="s">
        <v>132</v>
      </c>
      <c r="Q5" s="60" t="s">
        <v>133</v>
      </c>
      <c r="R5" s="61" t="s">
        <v>134</v>
      </c>
      <c r="S5" s="61" t="s">
        <v>135</v>
      </c>
    </row>
    <row r="6" spans="1:19" x14ac:dyDescent="0.4">
      <c r="A6" s="215" t="s">
        <v>67</v>
      </c>
      <c r="B6" s="218" t="s">
        <v>68</v>
      </c>
      <c r="C6" s="218" t="s">
        <v>69</v>
      </c>
      <c r="D6" s="221" t="s">
        <v>70</v>
      </c>
      <c r="E6" s="222"/>
      <c r="F6" s="93">
        <v>1448.95</v>
      </c>
      <c r="G6" s="40">
        <f>4300*(F6)^-0.46</f>
        <v>151.1415570388952</v>
      </c>
      <c r="H6" s="40">
        <f>F6*(G6)</f>
        <v>218996.55907150722</v>
      </c>
      <c r="I6" s="40">
        <f>0.03*H6</f>
        <v>6569.8967721452163</v>
      </c>
      <c r="J6" s="83">
        <f>H6*((0.06*(1+0.06)^20)/((1+0.06)^20-1))</f>
        <v>19093.117982104224</v>
      </c>
      <c r="K6" s="83">
        <f>I6*((0.06*(1+0.06)^20)/((1+0.06)^20-1))</f>
        <v>572.79353946312676</v>
      </c>
      <c r="L6" s="19">
        <f>J6+K6</f>
        <v>19665.911521567352</v>
      </c>
      <c r="M6" s="93">
        <v>1448.95</v>
      </c>
      <c r="N6" s="40">
        <f>6543*(M6)^-0.534</f>
        <v>134.20676411240217</v>
      </c>
      <c r="O6" s="40">
        <f>M6*N6</f>
        <v>194458.89086066512</v>
      </c>
      <c r="P6" s="40">
        <f>0.03*O6</f>
        <v>5833.7667258199535</v>
      </c>
      <c r="Q6" s="83">
        <f>O6*((0.06*(1+0.06)^20)/((1+0.06)^20-1))</f>
        <v>16953.812249896986</v>
      </c>
      <c r="R6" s="83">
        <f>P6*((0.06*(1+0.06)^20)/((1+0.06)^20-1))</f>
        <v>508.61436749690961</v>
      </c>
      <c r="S6" s="19">
        <f>Q6+R6</f>
        <v>17462.426617393896</v>
      </c>
    </row>
    <row r="7" spans="1:19" x14ac:dyDescent="0.4">
      <c r="A7" s="216"/>
      <c r="B7" s="219"/>
      <c r="C7" s="219"/>
      <c r="D7" s="221" t="s">
        <v>71</v>
      </c>
      <c r="E7" s="222"/>
      <c r="F7" s="93">
        <v>1448.95</v>
      </c>
      <c r="G7" s="40">
        <f t="shared" ref="G7:G69" si="0">4300*(F7)^-0.46</f>
        <v>151.1415570388952</v>
      </c>
      <c r="H7" s="40">
        <f t="shared" ref="H7:H69" si="1">F7*(G7)</f>
        <v>218996.55907150722</v>
      </c>
      <c r="I7" s="40">
        <f t="shared" ref="I7:I69" si="2">0.03*H7</f>
        <v>6569.8967721452163</v>
      </c>
      <c r="J7" s="83">
        <f>H7*((0.06*(1+0.06)^20)/((1+0.06)^20-1))</f>
        <v>19093.117982104224</v>
      </c>
      <c r="K7" s="83">
        <f t="shared" ref="K7:K69" si="3">I7*((0.06*(1+0.06)^20)/((1+0.06)^20-1))</f>
        <v>572.79353946312676</v>
      </c>
      <c r="L7" s="19">
        <f t="shared" ref="L7:L69" si="4">J7+K7</f>
        <v>19665.911521567352</v>
      </c>
      <c r="M7" s="93">
        <v>1448.95</v>
      </c>
      <c r="N7" s="40">
        <f t="shared" ref="N7:N69" si="5">6543*(M7)^-0.534</f>
        <v>134.20676411240217</v>
      </c>
      <c r="O7" s="40">
        <f t="shared" ref="O7:O69" si="6">M7*N7</f>
        <v>194458.89086066512</v>
      </c>
      <c r="P7" s="40">
        <f t="shared" ref="P7:P69" si="7">0.03*O7</f>
        <v>5833.7667258199535</v>
      </c>
      <c r="Q7" s="83">
        <f t="shared" ref="Q7:Q69" si="8">O7*((0.06*(1+0.06)^20)/((1+0.06)^20-1))</f>
        <v>16953.812249896986</v>
      </c>
      <c r="R7" s="83">
        <f t="shared" ref="R7:R69" si="9">P7*((0.06*(1+0.06)^20)/((1+0.06)^20-1))</f>
        <v>508.61436749690961</v>
      </c>
      <c r="S7" s="19">
        <f t="shared" ref="S7:S69" si="10">Q7+R7</f>
        <v>17462.426617393896</v>
      </c>
    </row>
    <row r="8" spans="1:19" x14ac:dyDescent="0.4">
      <c r="A8" s="216"/>
      <c r="B8" s="219"/>
      <c r="C8" s="219"/>
      <c r="D8" s="221" t="s">
        <v>72</v>
      </c>
      <c r="E8" s="222"/>
      <c r="F8" s="93">
        <v>1448.95</v>
      </c>
      <c r="G8" s="40">
        <f t="shared" si="0"/>
        <v>151.1415570388952</v>
      </c>
      <c r="H8" s="40">
        <f t="shared" si="1"/>
        <v>218996.55907150722</v>
      </c>
      <c r="I8" s="40">
        <f t="shared" si="2"/>
        <v>6569.8967721452163</v>
      </c>
      <c r="J8" s="83">
        <f>H8*((0.06*(1+0.06)^20)/((1+0.06)^20-1))</f>
        <v>19093.117982104224</v>
      </c>
      <c r="K8" s="83">
        <f t="shared" si="3"/>
        <v>572.79353946312676</v>
      </c>
      <c r="L8" s="19">
        <f t="shared" si="4"/>
        <v>19665.911521567352</v>
      </c>
      <c r="M8" s="93">
        <v>1448.95</v>
      </c>
      <c r="N8" s="40">
        <f t="shared" si="5"/>
        <v>134.20676411240217</v>
      </c>
      <c r="O8" s="40">
        <f t="shared" si="6"/>
        <v>194458.89086066512</v>
      </c>
      <c r="P8" s="40">
        <f t="shared" si="7"/>
        <v>5833.7667258199535</v>
      </c>
      <c r="Q8" s="83">
        <f t="shared" si="8"/>
        <v>16953.812249896986</v>
      </c>
      <c r="R8" s="83">
        <f t="shared" si="9"/>
        <v>508.61436749690961</v>
      </c>
      <c r="S8" s="19">
        <f t="shared" si="10"/>
        <v>17462.426617393896</v>
      </c>
    </row>
    <row r="9" spans="1:19" x14ac:dyDescent="0.4">
      <c r="A9" s="216"/>
      <c r="B9" s="219"/>
      <c r="C9" s="219"/>
      <c r="D9" s="223" t="s">
        <v>73</v>
      </c>
      <c r="E9" s="223"/>
      <c r="F9" s="93">
        <v>1448.95</v>
      </c>
      <c r="G9" s="40">
        <f t="shared" si="0"/>
        <v>151.1415570388952</v>
      </c>
      <c r="H9" s="40">
        <f t="shared" si="1"/>
        <v>218996.55907150722</v>
      </c>
      <c r="I9" s="40">
        <f t="shared" si="2"/>
        <v>6569.8967721452163</v>
      </c>
      <c r="J9" s="83">
        <f>H9*((0.06*(1+0.06)^20)/((1+0.06)^20-1))</f>
        <v>19093.117982104224</v>
      </c>
      <c r="K9" s="83">
        <f t="shared" si="3"/>
        <v>572.79353946312676</v>
      </c>
      <c r="L9" s="19">
        <f t="shared" si="4"/>
        <v>19665.911521567352</v>
      </c>
      <c r="M9" s="93">
        <v>1448.95</v>
      </c>
      <c r="N9" s="40">
        <f t="shared" si="5"/>
        <v>134.20676411240217</v>
      </c>
      <c r="O9" s="40">
        <f t="shared" si="6"/>
        <v>194458.89086066512</v>
      </c>
      <c r="P9" s="40">
        <f t="shared" si="7"/>
        <v>5833.7667258199535</v>
      </c>
      <c r="Q9" s="83">
        <f t="shared" si="8"/>
        <v>16953.812249896986</v>
      </c>
      <c r="R9" s="83">
        <f t="shared" si="9"/>
        <v>508.61436749690961</v>
      </c>
      <c r="S9" s="19">
        <f t="shared" si="10"/>
        <v>17462.426617393896</v>
      </c>
    </row>
    <row r="10" spans="1:19" x14ac:dyDescent="0.4">
      <c r="A10" s="217"/>
      <c r="B10" s="220"/>
      <c r="C10" s="220"/>
      <c r="D10" s="223" t="s">
        <v>74</v>
      </c>
      <c r="E10" s="223"/>
      <c r="F10" s="93">
        <v>1448.95</v>
      </c>
      <c r="G10" s="40">
        <f t="shared" si="0"/>
        <v>151.1415570388952</v>
      </c>
      <c r="H10" s="40">
        <f t="shared" si="1"/>
        <v>218996.55907150722</v>
      </c>
      <c r="I10" s="40">
        <f t="shared" si="2"/>
        <v>6569.8967721452163</v>
      </c>
      <c r="J10" s="83">
        <f>H10*((0.06*(1+0.06)^20)/((1+0.06)^20-1))</f>
        <v>19093.117982104224</v>
      </c>
      <c r="K10" s="83">
        <f t="shared" si="3"/>
        <v>572.79353946312676</v>
      </c>
      <c r="L10" s="19">
        <f t="shared" si="4"/>
        <v>19665.911521567352</v>
      </c>
      <c r="M10" s="93">
        <v>1448.95</v>
      </c>
      <c r="N10" s="40">
        <f t="shared" si="5"/>
        <v>134.20676411240217</v>
      </c>
      <c r="O10" s="40">
        <f t="shared" si="6"/>
        <v>194458.89086066512</v>
      </c>
      <c r="P10" s="40">
        <f t="shared" si="7"/>
        <v>5833.7667258199535</v>
      </c>
      <c r="Q10" s="83">
        <f t="shared" si="8"/>
        <v>16953.812249896986</v>
      </c>
      <c r="R10" s="83">
        <f t="shared" si="9"/>
        <v>508.61436749690961</v>
      </c>
      <c r="S10" s="19">
        <f t="shared" si="10"/>
        <v>17462.426617393896</v>
      </c>
    </row>
    <row r="11" spans="1:19" x14ac:dyDescent="0.4">
      <c r="A11" s="224" t="s">
        <v>65</v>
      </c>
      <c r="B11" s="227" t="s">
        <v>76</v>
      </c>
      <c r="C11" s="228" t="s">
        <v>55</v>
      </c>
      <c r="D11" s="228"/>
      <c r="E11" s="228"/>
      <c r="F11" s="94" t="s">
        <v>50</v>
      </c>
      <c r="G11" s="89" t="s">
        <v>50</v>
      </c>
      <c r="H11" s="89" t="s">
        <v>50</v>
      </c>
      <c r="I11" s="89" t="s">
        <v>50</v>
      </c>
      <c r="J11" s="84" t="s">
        <v>50</v>
      </c>
      <c r="K11" s="84" t="s">
        <v>50</v>
      </c>
      <c r="L11" s="88" t="s">
        <v>50</v>
      </c>
      <c r="M11" s="94" t="s">
        <v>50</v>
      </c>
      <c r="N11" s="89" t="s">
        <v>50</v>
      </c>
      <c r="O11" s="89" t="s">
        <v>50</v>
      </c>
      <c r="P11" s="89" t="s">
        <v>50</v>
      </c>
      <c r="Q11" s="84" t="s">
        <v>50</v>
      </c>
      <c r="R11" s="90" t="s">
        <v>50</v>
      </c>
      <c r="S11" s="52" t="s">
        <v>50</v>
      </c>
    </row>
    <row r="12" spans="1:19" x14ac:dyDescent="0.4">
      <c r="A12" s="225"/>
      <c r="B12" s="227"/>
      <c r="C12" s="229" t="s">
        <v>69</v>
      </c>
      <c r="D12" s="232" t="s">
        <v>70</v>
      </c>
      <c r="E12" s="233"/>
      <c r="F12" s="95">
        <v>1448.95</v>
      </c>
      <c r="G12" s="89">
        <f t="shared" si="0"/>
        <v>151.1415570388952</v>
      </c>
      <c r="H12" s="89">
        <f t="shared" si="1"/>
        <v>218996.55907150722</v>
      </c>
      <c r="I12" s="89">
        <f t="shared" si="2"/>
        <v>6569.8967721452163</v>
      </c>
      <c r="J12" s="84">
        <f>H12*((0.06*(1+0.06)^20)/((1+0.06)^20-1))</f>
        <v>19093.117982104224</v>
      </c>
      <c r="K12" s="84">
        <f t="shared" si="3"/>
        <v>572.79353946312676</v>
      </c>
      <c r="L12" s="88">
        <f t="shared" si="4"/>
        <v>19665.911521567352</v>
      </c>
      <c r="M12" s="95">
        <v>1448.95</v>
      </c>
      <c r="N12" s="89">
        <f t="shared" si="5"/>
        <v>134.20676411240217</v>
      </c>
      <c r="O12" s="89">
        <f t="shared" si="6"/>
        <v>194458.89086066512</v>
      </c>
      <c r="P12" s="89">
        <f t="shared" si="7"/>
        <v>5833.7667258199535</v>
      </c>
      <c r="Q12" s="84">
        <f t="shared" si="8"/>
        <v>16953.812249896986</v>
      </c>
      <c r="R12" s="90">
        <f t="shared" si="9"/>
        <v>508.61436749690961</v>
      </c>
      <c r="S12" s="52">
        <f t="shared" si="10"/>
        <v>17462.426617393896</v>
      </c>
    </row>
    <row r="13" spans="1:19" x14ac:dyDescent="0.4">
      <c r="A13" s="225"/>
      <c r="B13" s="227"/>
      <c r="C13" s="230"/>
      <c r="D13" s="232" t="s">
        <v>71</v>
      </c>
      <c r="E13" s="233"/>
      <c r="F13" s="95">
        <v>1448.95</v>
      </c>
      <c r="G13" s="89">
        <f t="shared" si="0"/>
        <v>151.1415570388952</v>
      </c>
      <c r="H13" s="89">
        <f t="shared" si="1"/>
        <v>218996.55907150722</v>
      </c>
      <c r="I13" s="89">
        <f t="shared" si="2"/>
        <v>6569.8967721452163</v>
      </c>
      <c r="J13" s="84">
        <f>H13*((0.06*(1+0.06)^20)/((1+0.06)^20-1))</f>
        <v>19093.117982104224</v>
      </c>
      <c r="K13" s="84">
        <f t="shared" si="3"/>
        <v>572.79353946312676</v>
      </c>
      <c r="L13" s="88">
        <f t="shared" si="4"/>
        <v>19665.911521567352</v>
      </c>
      <c r="M13" s="95">
        <v>1448.95</v>
      </c>
      <c r="N13" s="89">
        <f t="shared" si="5"/>
        <v>134.20676411240217</v>
      </c>
      <c r="O13" s="89">
        <f t="shared" si="6"/>
        <v>194458.89086066512</v>
      </c>
      <c r="P13" s="89">
        <f t="shared" si="7"/>
        <v>5833.7667258199535</v>
      </c>
      <c r="Q13" s="84">
        <f t="shared" si="8"/>
        <v>16953.812249896986</v>
      </c>
      <c r="R13" s="90">
        <f t="shared" si="9"/>
        <v>508.61436749690961</v>
      </c>
      <c r="S13" s="52">
        <f t="shared" si="10"/>
        <v>17462.426617393896</v>
      </c>
    </row>
    <row r="14" spans="1:19" x14ac:dyDescent="0.4">
      <c r="A14" s="225"/>
      <c r="B14" s="227"/>
      <c r="C14" s="230"/>
      <c r="D14" s="232" t="s">
        <v>72</v>
      </c>
      <c r="E14" s="233"/>
      <c r="F14" s="148">
        <v>1448.95</v>
      </c>
      <c r="G14" s="89">
        <f t="shared" si="0"/>
        <v>151.1415570388952</v>
      </c>
      <c r="H14" s="89">
        <f t="shared" si="1"/>
        <v>218996.55907150722</v>
      </c>
      <c r="I14" s="89">
        <f t="shared" si="2"/>
        <v>6569.8967721452163</v>
      </c>
      <c r="J14" s="84">
        <f>H14*((0.06*(1+0.06)^20)/((1+0.06)^20-1))</f>
        <v>19093.117982104224</v>
      </c>
      <c r="K14" s="84">
        <f t="shared" si="3"/>
        <v>572.79353946312676</v>
      </c>
      <c r="L14" s="88">
        <f t="shared" si="4"/>
        <v>19665.911521567352</v>
      </c>
      <c r="M14" s="95">
        <v>1448.95</v>
      </c>
      <c r="N14" s="89">
        <f t="shared" si="5"/>
        <v>134.20676411240217</v>
      </c>
      <c r="O14" s="89">
        <f t="shared" si="6"/>
        <v>194458.89086066512</v>
      </c>
      <c r="P14" s="89">
        <f t="shared" si="7"/>
        <v>5833.7667258199535</v>
      </c>
      <c r="Q14" s="84">
        <f t="shared" si="8"/>
        <v>16953.812249896986</v>
      </c>
      <c r="R14" s="90">
        <f t="shared" si="9"/>
        <v>508.61436749690961</v>
      </c>
      <c r="S14" s="52">
        <f t="shared" si="10"/>
        <v>17462.426617393896</v>
      </c>
    </row>
    <row r="15" spans="1:19" x14ac:dyDescent="0.4">
      <c r="A15" s="225"/>
      <c r="B15" s="227"/>
      <c r="C15" s="230"/>
      <c r="D15" s="228" t="s">
        <v>73</v>
      </c>
      <c r="E15" s="228"/>
      <c r="F15" s="96">
        <v>1448.95</v>
      </c>
      <c r="G15" s="69">
        <f t="shared" si="0"/>
        <v>151.1415570388952</v>
      </c>
      <c r="H15" s="69">
        <f t="shared" si="1"/>
        <v>218996.55907150722</v>
      </c>
      <c r="I15" s="69">
        <f t="shared" si="2"/>
        <v>6569.8967721452163</v>
      </c>
      <c r="J15" s="67">
        <f>H15*((0.06*(1+0.06)^20)/((1+0.06)^20-1))</f>
        <v>19093.117982104224</v>
      </c>
      <c r="K15" s="67">
        <f t="shared" si="3"/>
        <v>572.79353946312676</v>
      </c>
      <c r="L15" s="80">
        <f t="shared" si="4"/>
        <v>19665.911521567352</v>
      </c>
      <c r="M15" s="95">
        <v>1448.95</v>
      </c>
      <c r="N15" s="89">
        <f t="shared" si="5"/>
        <v>134.20676411240217</v>
      </c>
      <c r="O15" s="89">
        <f t="shared" si="6"/>
        <v>194458.89086066512</v>
      </c>
      <c r="P15" s="89">
        <f t="shared" si="7"/>
        <v>5833.7667258199535</v>
      </c>
      <c r="Q15" s="84">
        <f t="shared" si="8"/>
        <v>16953.812249896986</v>
      </c>
      <c r="R15" s="90">
        <f t="shared" si="9"/>
        <v>508.61436749690961</v>
      </c>
      <c r="S15" s="52">
        <f t="shared" si="10"/>
        <v>17462.426617393896</v>
      </c>
    </row>
    <row r="16" spans="1:19" x14ac:dyDescent="0.4">
      <c r="A16" s="225"/>
      <c r="B16" s="227"/>
      <c r="C16" s="231"/>
      <c r="D16" s="228" t="s">
        <v>74</v>
      </c>
      <c r="E16" s="228"/>
      <c r="F16" s="96">
        <v>1448.95</v>
      </c>
      <c r="G16" s="69">
        <f t="shared" si="0"/>
        <v>151.1415570388952</v>
      </c>
      <c r="H16" s="69">
        <f t="shared" si="1"/>
        <v>218996.55907150722</v>
      </c>
      <c r="I16" s="69">
        <f t="shared" si="2"/>
        <v>6569.8967721452163</v>
      </c>
      <c r="J16" s="67">
        <f>H16*((0.06*(1+0.06)^20)/((1+0.06)^20-1))</f>
        <v>19093.117982104224</v>
      </c>
      <c r="K16" s="67">
        <f t="shared" si="3"/>
        <v>572.79353946312676</v>
      </c>
      <c r="L16" s="80">
        <f t="shared" si="4"/>
        <v>19665.911521567352</v>
      </c>
      <c r="M16" s="95">
        <v>1448.95</v>
      </c>
      <c r="N16" s="71">
        <f t="shared" si="5"/>
        <v>134.20676411240217</v>
      </c>
      <c r="O16" s="71">
        <f t="shared" si="6"/>
        <v>194458.89086066512</v>
      </c>
      <c r="P16" s="71">
        <f t="shared" si="7"/>
        <v>5833.7667258199535</v>
      </c>
      <c r="Q16" s="90">
        <f t="shared" si="8"/>
        <v>16953.812249896986</v>
      </c>
      <c r="R16" s="90">
        <f t="shared" si="9"/>
        <v>508.61436749690961</v>
      </c>
      <c r="S16" s="52">
        <f t="shared" si="10"/>
        <v>17462.426617393896</v>
      </c>
    </row>
    <row r="17" spans="1:19" x14ac:dyDescent="0.4">
      <c r="A17" s="225"/>
      <c r="B17" s="234" t="s">
        <v>77</v>
      </c>
      <c r="C17" s="252" t="s">
        <v>55</v>
      </c>
      <c r="D17" s="246"/>
      <c r="E17" s="246"/>
      <c r="F17" s="97" t="s">
        <v>50</v>
      </c>
      <c r="G17" s="79" t="s">
        <v>50</v>
      </c>
      <c r="H17" s="79" t="s">
        <v>50</v>
      </c>
      <c r="I17" s="79" t="s">
        <v>50</v>
      </c>
      <c r="J17" s="34" t="s">
        <v>50</v>
      </c>
      <c r="K17" s="34" t="s">
        <v>50</v>
      </c>
      <c r="L17" s="15" t="s">
        <v>50</v>
      </c>
      <c r="M17" s="97" t="s">
        <v>50</v>
      </c>
      <c r="N17" s="79" t="s">
        <v>50</v>
      </c>
      <c r="O17" s="79" t="s">
        <v>50</v>
      </c>
      <c r="P17" s="79" t="s">
        <v>50</v>
      </c>
      <c r="Q17" s="34" t="s">
        <v>50</v>
      </c>
      <c r="R17" s="34" t="s">
        <v>50</v>
      </c>
      <c r="S17" s="15" t="s">
        <v>50</v>
      </c>
    </row>
    <row r="18" spans="1:19" x14ac:dyDescent="0.4">
      <c r="A18" s="225"/>
      <c r="B18" s="235"/>
      <c r="C18" s="246" t="s">
        <v>79</v>
      </c>
      <c r="D18" s="247" t="s">
        <v>80</v>
      </c>
      <c r="E18" s="32" t="s">
        <v>95</v>
      </c>
      <c r="F18" s="98" t="s">
        <v>50</v>
      </c>
      <c r="G18" s="78" t="s">
        <v>50</v>
      </c>
      <c r="H18" s="78" t="s">
        <v>50</v>
      </c>
      <c r="I18" s="78" t="s">
        <v>50</v>
      </c>
      <c r="J18" s="33" t="s">
        <v>50</v>
      </c>
      <c r="K18" s="33" t="s">
        <v>50</v>
      </c>
      <c r="L18" s="29" t="s">
        <v>50</v>
      </c>
      <c r="M18" s="98" t="s">
        <v>50</v>
      </c>
      <c r="N18" s="78" t="s">
        <v>50</v>
      </c>
      <c r="O18" s="78" t="s">
        <v>50</v>
      </c>
      <c r="P18" s="78" t="s">
        <v>50</v>
      </c>
      <c r="Q18" s="33" t="s">
        <v>50</v>
      </c>
      <c r="R18" s="33" t="s">
        <v>50</v>
      </c>
      <c r="S18" s="29" t="s">
        <v>50</v>
      </c>
    </row>
    <row r="19" spans="1:19" x14ac:dyDescent="0.4">
      <c r="A19" s="225"/>
      <c r="B19" s="235"/>
      <c r="C19" s="246"/>
      <c r="D19" s="247"/>
      <c r="E19" s="32" t="s">
        <v>100</v>
      </c>
      <c r="F19" s="99">
        <v>1448.95</v>
      </c>
      <c r="G19" s="78">
        <f t="shared" si="0"/>
        <v>151.1415570388952</v>
      </c>
      <c r="H19" s="78">
        <f t="shared" si="1"/>
        <v>218996.55907150722</v>
      </c>
      <c r="I19" s="78">
        <f t="shared" si="2"/>
        <v>6569.8967721452163</v>
      </c>
      <c r="J19" s="33">
        <f>H19*((0.06*(1+0.06)^20)/((1+0.06)^20-1))</f>
        <v>19093.117982104224</v>
      </c>
      <c r="K19" s="33">
        <f t="shared" si="3"/>
        <v>572.79353946312676</v>
      </c>
      <c r="L19" s="29">
        <f t="shared" si="4"/>
        <v>19665.911521567352</v>
      </c>
      <c r="M19" s="99">
        <v>1448.95</v>
      </c>
      <c r="N19" s="78">
        <f t="shared" si="5"/>
        <v>134.20676411240217</v>
      </c>
      <c r="O19" s="78">
        <f t="shared" si="6"/>
        <v>194458.89086066512</v>
      </c>
      <c r="P19" s="78">
        <f t="shared" si="7"/>
        <v>5833.7667258199535</v>
      </c>
      <c r="Q19" s="33">
        <f t="shared" si="8"/>
        <v>16953.812249896986</v>
      </c>
      <c r="R19" s="33">
        <f t="shared" si="9"/>
        <v>508.61436749690961</v>
      </c>
      <c r="S19" s="29">
        <f t="shared" si="10"/>
        <v>17462.426617393896</v>
      </c>
    </row>
    <row r="20" spans="1:19" x14ac:dyDescent="0.4">
      <c r="A20" s="225"/>
      <c r="B20" s="235"/>
      <c r="C20" s="246"/>
      <c r="D20" s="246" t="s">
        <v>81</v>
      </c>
      <c r="E20" s="23" t="s">
        <v>95</v>
      </c>
      <c r="F20" s="100" t="s">
        <v>50</v>
      </c>
      <c r="G20" s="79" t="s">
        <v>50</v>
      </c>
      <c r="H20" s="79" t="s">
        <v>50</v>
      </c>
      <c r="I20" s="79" t="s">
        <v>50</v>
      </c>
      <c r="J20" s="34" t="s">
        <v>50</v>
      </c>
      <c r="K20" s="34" t="s">
        <v>50</v>
      </c>
      <c r="L20" s="15" t="s">
        <v>50</v>
      </c>
      <c r="M20" s="100" t="s">
        <v>50</v>
      </c>
      <c r="N20" s="79" t="s">
        <v>50</v>
      </c>
      <c r="O20" s="79" t="s">
        <v>50</v>
      </c>
      <c r="P20" s="79" t="s">
        <v>50</v>
      </c>
      <c r="Q20" s="34" t="s">
        <v>50</v>
      </c>
      <c r="R20" s="34" t="s">
        <v>50</v>
      </c>
      <c r="S20" s="15" t="s">
        <v>50</v>
      </c>
    </row>
    <row r="21" spans="1:19" x14ac:dyDescent="0.4">
      <c r="A21" s="225"/>
      <c r="B21" s="235"/>
      <c r="C21" s="246"/>
      <c r="D21" s="246"/>
      <c r="E21" s="23" t="s">
        <v>101</v>
      </c>
      <c r="F21" s="97">
        <v>1448.95</v>
      </c>
      <c r="G21" s="79">
        <f t="shared" si="0"/>
        <v>151.1415570388952</v>
      </c>
      <c r="H21" s="79">
        <f t="shared" si="1"/>
        <v>218996.55907150722</v>
      </c>
      <c r="I21" s="79">
        <f t="shared" si="2"/>
        <v>6569.8967721452163</v>
      </c>
      <c r="J21" s="34">
        <f>H21*((0.06*(1+0.06)^20)/((1+0.06)^20-1))</f>
        <v>19093.117982104224</v>
      </c>
      <c r="K21" s="34">
        <f t="shared" si="3"/>
        <v>572.79353946312676</v>
      </c>
      <c r="L21" s="15">
        <f t="shared" si="4"/>
        <v>19665.911521567352</v>
      </c>
      <c r="M21" s="97">
        <v>1448.95</v>
      </c>
      <c r="N21" s="79">
        <f t="shared" si="5"/>
        <v>134.20676411240217</v>
      </c>
      <c r="O21" s="79">
        <f t="shared" si="6"/>
        <v>194458.89086066512</v>
      </c>
      <c r="P21" s="79">
        <f t="shared" si="7"/>
        <v>5833.7667258199535</v>
      </c>
      <c r="Q21" s="34">
        <f t="shared" si="8"/>
        <v>16953.812249896986</v>
      </c>
      <c r="R21" s="34">
        <f t="shared" si="9"/>
        <v>508.61436749690961</v>
      </c>
      <c r="S21" s="15">
        <f t="shared" si="10"/>
        <v>17462.426617393896</v>
      </c>
    </row>
    <row r="22" spans="1:19" x14ac:dyDescent="0.4">
      <c r="A22" s="225"/>
      <c r="B22" s="235"/>
      <c r="C22" s="246"/>
      <c r="D22" s="247" t="s">
        <v>82</v>
      </c>
      <c r="E22" s="32" t="s">
        <v>95</v>
      </c>
      <c r="F22" s="98" t="s">
        <v>50</v>
      </c>
      <c r="G22" s="78" t="s">
        <v>50</v>
      </c>
      <c r="H22" s="78" t="s">
        <v>50</v>
      </c>
      <c r="I22" s="78" t="s">
        <v>50</v>
      </c>
      <c r="J22" s="33" t="s">
        <v>50</v>
      </c>
      <c r="K22" s="33" t="s">
        <v>50</v>
      </c>
      <c r="L22" s="29" t="s">
        <v>50</v>
      </c>
      <c r="M22" s="98" t="s">
        <v>50</v>
      </c>
      <c r="N22" s="78" t="s">
        <v>50</v>
      </c>
      <c r="O22" s="78" t="s">
        <v>50</v>
      </c>
      <c r="P22" s="78" t="s">
        <v>50</v>
      </c>
      <c r="Q22" s="33" t="s">
        <v>50</v>
      </c>
      <c r="R22" s="33" t="s">
        <v>50</v>
      </c>
      <c r="S22" s="29" t="s">
        <v>50</v>
      </c>
    </row>
    <row r="23" spans="1:19" x14ac:dyDescent="0.4">
      <c r="A23" s="225"/>
      <c r="B23" s="235"/>
      <c r="C23" s="246"/>
      <c r="D23" s="247"/>
      <c r="E23" s="32" t="s">
        <v>102</v>
      </c>
      <c r="F23" s="99">
        <v>1448.95</v>
      </c>
      <c r="G23" s="78">
        <f t="shared" si="0"/>
        <v>151.1415570388952</v>
      </c>
      <c r="H23" s="78">
        <f t="shared" si="1"/>
        <v>218996.55907150722</v>
      </c>
      <c r="I23" s="78">
        <f t="shared" si="2"/>
        <v>6569.8967721452163</v>
      </c>
      <c r="J23" s="33">
        <f>H23*((0.06*(1+0.06)^20)/((1+0.06)^20-1))</f>
        <v>19093.117982104224</v>
      </c>
      <c r="K23" s="33">
        <f t="shared" si="3"/>
        <v>572.79353946312676</v>
      </c>
      <c r="L23" s="29">
        <f t="shared" si="4"/>
        <v>19665.911521567352</v>
      </c>
      <c r="M23" s="99">
        <v>1448.95</v>
      </c>
      <c r="N23" s="78">
        <f t="shared" si="5"/>
        <v>134.20676411240217</v>
      </c>
      <c r="O23" s="78">
        <f t="shared" si="6"/>
        <v>194458.89086066512</v>
      </c>
      <c r="P23" s="78">
        <f t="shared" si="7"/>
        <v>5833.7667258199535</v>
      </c>
      <c r="Q23" s="33">
        <f t="shared" si="8"/>
        <v>16953.812249896986</v>
      </c>
      <c r="R23" s="33">
        <f t="shared" si="9"/>
        <v>508.61436749690961</v>
      </c>
      <c r="S23" s="29">
        <f t="shared" si="10"/>
        <v>17462.426617393896</v>
      </c>
    </row>
    <row r="24" spans="1:19" x14ac:dyDescent="0.4">
      <c r="A24" s="225"/>
      <c r="B24" s="235"/>
      <c r="C24" s="246"/>
      <c r="D24" s="246" t="s">
        <v>83</v>
      </c>
      <c r="E24" s="23" t="s">
        <v>96</v>
      </c>
      <c r="F24" s="100" t="s">
        <v>50</v>
      </c>
      <c r="G24" s="79" t="s">
        <v>50</v>
      </c>
      <c r="H24" s="79" t="s">
        <v>50</v>
      </c>
      <c r="I24" s="79" t="s">
        <v>50</v>
      </c>
      <c r="J24" s="34" t="s">
        <v>50</v>
      </c>
      <c r="K24" s="34" t="s">
        <v>50</v>
      </c>
      <c r="L24" s="15" t="s">
        <v>50</v>
      </c>
      <c r="M24" s="100" t="s">
        <v>50</v>
      </c>
      <c r="N24" s="79" t="s">
        <v>50</v>
      </c>
      <c r="O24" s="79" t="s">
        <v>50</v>
      </c>
      <c r="P24" s="79" t="s">
        <v>50</v>
      </c>
      <c r="Q24" s="34" t="s">
        <v>50</v>
      </c>
      <c r="R24" s="34" t="s">
        <v>50</v>
      </c>
      <c r="S24" s="15" t="s">
        <v>50</v>
      </c>
    </row>
    <row r="25" spans="1:19" x14ac:dyDescent="0.4">
      <c r="A25" s="225"/>
      <c r="B25" s="235"/>
      <c r="C25" s="246"/>
      <c r="D25" s="246"/>
      <c r="E25" s="23" t="s">
        <v>100</v>
      </c>
      <c r="F25" s="97">
        <v>1448.95</v>
      </c>
      <c r="G25" s="79">
        <f t="shared" si="0"/>
        <v>151.1415570388952</v>
      </c>
      <c r="H25" s="79">
        <f t="shared" si="1"/>
        <v>218996.55907150722</v>
      </c>
      <c r="I25" s="79">
        <f t="shared" si="2"/>
        <v>6569.8967721452163</v>
      </c>
      <c r="J25" s="34">
        <f>H25*((0.06*(1+0.06)^20)/((1+0.06)^20-1))</f>
        <v>19093.117982104224</v>
      </c>
      <c r="K25" s="34">
        <f t="shared" si="3"/>
        <v>572.79353946312676</v>
      </c>
      <c r="L25" s="15">
        <f t="shared" si="4"/>
        <v>19665.911521567352</v>
      </c>
      <c r="M25" s="97">
        <v>1448.95</v>
      </c>
      <c r="N25" s="79">
        <f t="shared" si="5"/>
        <v>134.20676411240217</v>
      </c>
      <c r="O25" s="79">
        <f t="shared" si="6"/>
        <v>194458.89086066512</v>
      </c>
      <c r="P25" s="79">
        <f t="shared" si="7"/>
        <v>5833.7667258199535</v>
      </c>
      <c r="Q25" s="34">
        <f t="shared" si="8"/>
        <v>16953.812249896986</v>
      </c>
      <c r="R25" s="34">
        <f t="shared" si="9"/>
        <v>508.61436749690961</v>
      </c>
      <c r="S25" s="15">
        <f t="shared" si="10"/>
        <v>17462.426617393896</v>
      </c>
    </row>
    <row r="26" spans="1:19" x14ac:dyDescent="0.4">
      <c r="A26" s="225"/>
      <c r="B26" s="235"/>
      <c r="C26" s="246"/>
      <c r="D26" s="247" t="s">
        <v>84</v>
      </c>
      <c r="E26" s="32" t="s">
        <v>96</v>
      </c>
      <c r="F26" s="98" t="s">
        <v>50</v>
      </c>
      <c r="G26" s="78" t="s">
        <v>50</v>
      </c>
      <c r="H26" s="78" t="s">
        <v>50</v>
      </c>
      <c r="I26" s="78" t="s">
        <v>50</v>
      </c>
      <c r="J26" s="33" t="s">
        <v>50</v>
      </c>
      <c r="K26" s="33" t="s">
        <v>50</v>
      </c>
      <c r="L26" s="29" t="s">
        <v>50</v>
      </c>
      <c r="M26" s="98" t="s">
        <v>50</v>
      </c>
      <c r="N26" s="78" t="s">
        <v>50</v>
      </c>
      <c r="O26" s="78" t="s">
        <v>50</v>
      </c>
      <c r="P26" s="78" t="s">
        <v>50</v>
      </c>
      <c r="Q26" s="33" t="s">
        <v>50</v>
      </c>
      <c r="R26" s="33" t="s">
        <v>50</v>
      </c>
      <c r="S26" s="29" t="s">
        <v>50</v>
      </c>
    </row>
    <row r="27" spans="1:19" x14ac:dyDescent="0.4">
      <c r="A27" s="225"/>
      <c r="B27" s="235"/>
      <c r="C27" s="246"/>
      <c r="D27" s="247"/>
      <c r="E27" s="32" t="s">
        <v>101</v>
      </c>
      <c r="F27" s="99">
        <v>1448.95</v>
      </c>
      <c r="G27" s="78">
        <f t="shared" si="0"/>
        <v>151.1415570388952</v>
      </c>
      <c r="H27" s="78">
        <f t="shared" si="1"/>
        <v>218996.55907150722</v>
      </c>
      <c r="I27" s="78">
        <f t="shared" si="2"/>
        <v>6569.8967721452163</v>
      </c>
      <c r="J27" s="33">
        <f>H27*((0.06*(1+0.06)^20)/((1+0.06)^20-1))</f>
        <v>19093.117982104224</v>
      </c>
      <c r="K27" s="33">
        <f t="shared" si="3"/>
        <v>572.79353946312676</v>
      </c>
      <c r="L27" s="29">
        <f t="shared" si="4"/>
        <v>19665.911521567352</v>
      </c>
      <c r="M27" s="99">
        <v>1448.95</v>
      </c>
      <c r="N27" s="78">
        <f t="shared" si="5"/>
        <v>134.20676411240217</v>
      </c>
      <c r="O27" s="78">
        <f t="shared" si="6"/>
        <v>194458.89086066512</v>
      </c>
      <c r="P27" s="78">
        <f t="shared" si="7"/>
        <v>5833.7667258199535</v>
      </c>
      <c r="Q27" s="33">
        <f t="shared" si="8"/>
        <v>16953.812249896986</v>
      </c>
      <c r="R27" s="33">
        <f t="shared" si="9"/>
        <v>508.61436749690961</v>
      </c>
      <c r="S27" s="29">
        <f t="shared" si="10"/>
        <v>17462.426617393896</v>
      </c>
    </row>
    <row r="28" spans="1:19" x14ac:dyDescent="0.4">
      <c r="A28" s="225"/>
      <c r="B28" s="235"/>
      <c r="C28" s="246"/>
      <c r="D28" s="246" t="s">
        <v>85</v>
      </c>
      <c r="E28" s="23" t="s">
        <v>96</v>
      </c>
      <c r="F28" s="100" t="s">
        <v>50</v>
      </c>
      <c r="G28" s="79" t="s">
        <v>50</v>
      </c>
      <c r="H28" s="79" t="s">
        <v>50</v>
      </c>
      <c r="I28" s="79" t="s">
        <v>50</v>
      </c>
      <c r="J28" s="34" t="s">
        <v>50</v>
      </c>
      <c r="K28" s="34" t="s">
        <v>50</v>
      </c>
      <c r="L28" s="15" t="s">
        <v>50</v>
      </c>
      <c r="M28" s="100" t="s">
        <v>50</v>
      </c>
      <c r="N28" s="79" t="s">
        <v>50</v>
      </c>
      <c r="O28" s="79" t="s">
        <v>50</v>
      </c>
      <c r="P28" s="79" t="s">
        <v>50</v>
      </c>
      <c r="Q28" s="34" t="s">
        <v>50</v>
      </c>
      <c r="R28" s="34" t="s">
        <v>50</v>
      </c>
      <c r="S28" s="15" t="s">
        <v>50</v>
      </c>
    </row>
    <row r="29" spans="1:19" x14ac:dyDescent="0.4">
      <c r="A29" s="225"/>
      <c r="B29" s="235"/>
      <c r="C29" s="246"/>
      <c r="D29" s="246"/>
      <c r="E29" s="23" t="s">
        <v>102</v>
      </c>
      <c r="F29" s="97">
        <v>1448.95</v>
      </c>
      <c r="G29" s="79">
        <f t="shared" si="0"/>
        <v>151.1415570388952</v>
      </c>
      <c r="H29" s="79">
        <f t="shared" si="1"/>
        <v>218996.55907150722</v>
      </c>
      <c r="I29" s="79">
        <f t="shared" si="2"/>
        <v>6569.8967721452163</v>
      </c>
      <c r="J29" s="34">
        <f>H29*((0.06*(1+0.06)^20)/((1+0.06)^20-1))</f>
        <v>19093.117982104224</v>
      </c>
      <c r="K29" s="34">
        <f t="shared" si="3"/>
        <v>572.79353946312676</v>
      </c>
      <c r="L29" s="15">
        <f t="shared" si="4"/>
        <v>19665.911521567352</v>
      </c>
      <c r="M29" s="97">
        <v>1448.95</v>
      </c>
      <c r="N29" s="79">
        <f t="shared" si="5"/>
        <v>134.20676411240217</v>
      </c>
      <c r="O29" s="79">
        <f t="shared" si="6"/>
        <v>194458.89086066512</v>
      </c>
      <c r="P29" s="79">
        <f t="shared" si="7"/>
        <v>5833.7667258199535</v>
      </c>
      <c r="Q29" s="34">
        <f t="shared" si="8"/>
        <v>16953.812249896986</v>
      </c>
      <c r="R29" s="34">
        <f t="shared" si="9"/>
        <v>508.61436749690961</v>
      </c>
      <c r="S29" s="15">
        <f t="shared" si="10"/>
        <v>17462.426617393896</v>
      </c>
    </row>
    <row r="30" spans="1:19" x14ac:dyDescent="0.4">
      <c r="A30" s="225"/>
      <c r="B30" s="235"/>
      <c r="C30" s="246"/>
      <c r="D30" s="247" t="s">
        <v>86</v>
      </c>
      <c r="E30" s="32" t="s">
        <v>97</v>
      </c>
      <c r="F30" s="98" t="s">
        <v>50</v>
      </c>
      <c r="G30" s="78" t="s">
        <v>50</v>
      </c>
      <c r="H30" s="78" t="s">
        <v>50</v>
      </c>
      <c r="I30" s="78" t="s">
        <v>50</v>
      </c>
      <c r="J30" s="33" t="s">
        <v>50</v>
      </c>
      <c r="K30" s="33" t="s">
        <v>50</v>
      </c>
      <c r="L30" s="29" t="s">
        <v>50</v>
      </c>
      <c r="M30" s="98" t="s">
        <v>50</v>
      </c>
      <c r="N30" s="78" t="s">
        <v>50</v>
      </c>
      <c r="O30" s="78" t="s">
        <v>50</v>
      </c>
      <c r="P30" s="78" t="s">
        <v>50</v>
      </c>
      <c r="Q30" s="33" t="s">
        <v>50</v>
      </c>
      <c r="R30" s="33" t="s">
        <v>50</v>
      </c>
      <c r="S30" s="29" t="s">
        <v>50</v>
      </c>
    </row>
    <row r="31" spans="1:19" x14ac:dyDescent="0.4">
      <c r="A31" s="225"/>
      <c r="B31" s="235"/>
      <c r="C31" s="246"/>
      <c r="D31" s="247"/>
      <c r="E31" s="32" t="s">
        <v>100</v>
      </c>
      <c r="F31" s="99">
        <v>1448.95</v>
      </c>
      <c r="G31" s="78">
        <f t="shared" si="0"/>
        <v>151.1415570388952</v>
      </c>
      <c r="H31" s="78">
        <f t="shared" si="1"/>
        <v>218996.55907150722</v>
      </c>
      <c r="I31" s="78">
        <f t="shared" si="2"/>
        <v>6569.8967721452163</v>
      </c>
      <c r="J31" s="33">
        <f>H31*((0.06*(1+0.06)^20)/((1+0.06)^20-1))</f>
        <v>19093.117982104224</v>
      </c>
      <c r="K31" s="33">
        <f t="shared" si="3"/>
        <v>572.79353946312676</v>
      </c>
      <c r="L31" s="29">
        <f t="shared" si="4"/>
        <v>19665.911521567352</v>
      </c>
      <c r="M31" s="99">
        <v>1448.95</v>
      </c>
      <c r="N31" s="78">
        <f t="shared" si="5"/>
        <v>134.20676411240217</v>
      </c>
      <c r="O31" s="78">
        <f t="shared" si="6"/>
        <v>194458.89086066512</v>
      </c>
      <c r="P31" s="78">
        <f t="shared" si="7"/>
        <v>5833.7667258199535</v>
      </c>
      <c r="Q31" s="33">
        <f t="shared" si="8"/>
        <v>16953.812249896986</v>
      </c>
      <c r="R31" s="33">
        <f t="shared" si="9"/>
        <v>508.61436749690961</v>
      </c>
      <c r="S31" s="29">
        <f t="shared" si="10"/>
        <v>17462.426617393896</v>
      </c>
    </row>
    <row r="32" spans="1:19" x14ac:dyDescent="0.4">
      <c r="A32" s="225"/>
      <c r="B32" s="235"/>
      <c r="C32" s="246"/>
      <c r="D32" s="246" t="s">
        <v>87</v>
      </c>
      <c r="E32" s="23" t="s">
        <v>97</v>
      </c>
      <c r="F32" s="100" t="s">
        <v>50</v>
      </c>
      <c r="G32" s="79" t="s">
        <v>50</v>
      </c>
      <c r="H32" s="79" t="s">
        <v>50</v>
      </c>
      <c r="I32" s="79" t="s">
        <v>50</v>
      </c>
      <c r="J32" s="34" t="s">
        <v>50</v>
      </c>
      <c r="K32" s="34" t="s">
        <v>50</v>
      </c>
      <c r="L32" s="15" t="s">
        <v>50</v>
      </c>
      <c r="M32" s="100" t="s">
        <v>50</v>
      </c>
      <c r="N32" s="79" t="s">
        <v>50</v>
      </c>
      <c r="O32" s="79" t="s">
        <v>50</v>
      </c>
      <c r="P32" s="79" t="s">
        <v>50</v>
      </c>
      <c r="Q32" s="34" t="s">
        <v>50</v>
      </c>
      <c r="R32" s="34" t="s">
        <v>50</v>
      </c>
      <c r="S32" s="15" t="s">
        <v>50</v>
      </c>
    </row>
    <row r="33" spans="1:19" x14ac:dyDescent="0.4">
      <c r="A33" s="225"/>
      <c r="B33" s="235"/>
      <c r="C33" s="246"/>
      <c r="D33" s="246"/>
      <c r="E33" s="23" t="s">
        <v>101</v>
      </c>
      <c r="F33" s="97">
        <v>1448.95</v>
      </c>
      <c r="G33" s="79">
        <f t="shared" si="0"/>
        <v>151.1415570388952</v>
      </c>
      <c r="H33" s="79">
        <f t="shared" si="1"/>
        <v>218996.55907150722</v>
      </c>
      <c r="I33" s="79">
        <f t="shared" si="2"/>
        <v>6569.8967721452163</v>
      </c>
      <c r="J33" s="34">
        <f>H33*((0.06*(1+0.06)^20)/((1+0.06)^20-1))</f>
        <v>19093.117982104224</v>
      </c>
      <c r="K33" s="34">
        <f t="shared" si="3"/>
        <v>572.79353946312676</v>
      </c>
      <c r="L33" s="15">
        <f t="shared" si="4"/>
        <v>19665.911521567352</v>
      </c>
      <c r="M33" s="97">
        <v>1448.95</v>
      </c>
      <c r="N33" s="79">
        <f t="shared" si="5"/>
        <v>134.20676411240217</v>
      </c>
      <c r="O33" s="79">
        <f t="shared" si="6"/>
        <v>194458.89086066512</v>
      </c>
      <c r="P33" s="79">
        <f t="shared" si="7"/>
        <v>5833.7667258199535</v>
      </c>
      <c r="Q33" s="34">
        <f t="shared" si="8"/>
        <v>16953.812249896986</v>
      </c>
      <c r="R33" s="34">
        <f t="shared" si="9"/>
        <v>508.61436749690961</v>
      </c>
      <c r="S33" s="15">
        <f t="shared" si="10"/>
        <v>17462.426617393896</v>
      </c>
    </row>
    <row r="34" spans="1:19" x14ac:dyDescent="0.4">
      <c r="A34" s="225"/>
      <c r="B34" s="235"/>
      <c r="C34" s="246"/>
      <c r="D34" s="247" t="s">
        <v>88</v>
      </c>
      <c r="E34" s="32" t="s">
        <v>97</v>
      </c>
      <c r="F34" s="98" t="s">
        <v>50</v>
      </c>
      <c r="G34" s="78" t="s">
        <v>50</v>
      </c>
      <c r="H34" s="78" t="s">
        <v>50</v>
      </c>
      <c r="I34" s="78" t="s">
        <v>50</v>
      </c>
      <c r="J34" s="33" t="s">
        <v>50</v>
      </c>
      <c r="K34" s="33" t="s">
        <v>50</v>
      </c>
      <c r="L34" s="29" t="s">
        <v>50</v>
      </c>
      <c r="M34" s="98" t="s">
        <v>50</v>
      </c>
      <c r="N34" s="78" t="s">
        <v>50</v>
      </c>
      <c r="O34" s="78" t="s">
        <v>50</v>
      </c>
      <c r="P34" s="78" t="s">
        <v>50</v>
      </c>
      <c r="Q34" s="33" t="s">
        <v>50</v>
      </c>
      <c r="R34" s="33" t="s">
        <v>50</v>
      </c>
      <c r="S34" s="29" t="s">
        <v>50</v>
      </c>
    </row>
    <row r="35" spans="1:19" x14ac:dyDescent="0.4">
      <c r="A35" s="225"/>
      <c r="B35" s="235"/>
      <c r="C35" s="246"/>
      <c r="D35" s="247"/>
      <c r="E35" s="32" t="s">
        <v>102</v>
      </c>
      <c r="F35" s="99">
        <v>1448.95</v>
      </c>
      <c r="G35" s="78">
        <f t="shared" si="0"/>
        <v>151.1415570388952</v>
      </c>
      <c r="H35" s="78">
        <f t="shared" si="1"/>
        <v>218996.55907150722</v>
      </c>
      <c r="I35" s="78">
        <f t="shared" si="2"/>
        <v>6569.8967721452163</v>
      </c>
      <c r="J35" s="33">
        <f>H35*((0.06*(1+0.06)^20)/((1+0.06)^20-1))</f>
        <v>19093.117982104224</v>
      </c>
      <c r="K35" s="33">
        <f t="shared" si="3"/>
        <v>572.79353946312676</v>
      </c>
      <c r="L35" s="29">
        <f t="shared" si="4"/>
        <v>19665.911521567352</v>
      </c>
      <c r="M35" s="99">
        <v>1448.95</v>
      </c>
      <c r="N35" s="78">
        <f t="shared" si="5"/>
        <v>134.20676411240217</v>
      </c>
      <c r="O35" s="78">
        <f t="shared" si="6"/>
        <v>194458.89086066512</v>
      </c>
      <c r="P35" s="78">
        <f t="shared" si="7"/>
        <v>5833.7667258199535</v>
      </c>
      <c r="Q35" s="33">
        <f t="shared" si="8"/>
        <v>16953.812249896986</v>
      </c>
      <c r="R35" s="33">
        <f t="shared" si="9"/>
        <v>508.61436749690961</v>
      </c>
      <c r="S35" s="29">
        <f t="shared" si="10"/>
        <v>17462.426617393896</v>
      </c>
    </row>
    <row r="36" spans="1:19" x14ac:dyDescent="0.4">
      <c r="A36" s="225"/>
      <c r="B36" s="235"/>
      <c r="C36" s="246"/>
      <c r="D36" s="246" t="s">
        <v>89</v>
      </c>
      <c r="E36" s="23" t="s">
        <v>98</v>
      </c>
      <c r="F36" s="100" t="s">
        <v>50</v>
      </c>
      <c r="G36" s="79" t="s">
        <v>50</v>
      </c>
      <c r="H36" s="79" t="s">
        <v>50</v>
      </c>
      <c r="I36" s="79" t="s">
        <v>50</v>
      </c>
      <c r="J36" s="34" t="s">
        <v>50</v>
      </c>
      <c r="K36" s="34" t="s">
        <v>50</v>
      </c>
      <c r="L36" s="15" t="s">
        <v>50</v>
      </c>
      <c r="M36" s="100" t="s">
        <v>50</v>
      </c>
      <c r="N36" s="79" t="s">
        <v>50</v>
      </c>
      <c r="O36" s="79" t="s">
        <v>50</v>
      </c>
      <c r="P36" s="79" t="s">
        <v>50</v>
      </c>
      <c r="Q36" s="34" t="s">
        <v>50</v>
      </c>
      <c r="R36" s="34" t="s">
        <v>50</v>
      </c>
      <c r="S36" s="15" t="s">
        <v>50</v>
      </c>
    </row>
    <row r="37" spans="1:19" x14ac:dyDescent="0.4">
      <c r="A37" s="225"/>
      <c r="B37" s="235"/>
      <c r="C37" s="246"/>
      <c r="D37" s="246"/>
      <c r="E37" s="23" t="s">
        <v>100</v>
      </c>
      <c r="F37" s="101">
        <v>1448.95</v>
      </c>
      <c r="G37" s="69">
        <f t="shared" si="0"/>
        <v>151.1415570388952</v>
      </c>
      <c r="H37" s="69">
        <f t="shared" si="1"/>
        <v>218996.55907150722</v>
      </c>
      <c r="I37" s="69">
        <f t="shared" si="2"/>
        <v>6569.8967721452163</v>
      </c>
      <c r="J37" s="67">
        <f>H37*((0.06*(1+0.06)^20)/((1+0.06)^20-1))</f>
        <v>19093.117982104224</v>
      </c>
      <c r="K37" s="67">
        <f t="shared" si="3"/>
        <v>572.79353946312676</v>
      </c>
      <c r="L37" s="80">
        <f t="shared" si="4"/>
        <v>19665.911521567352</v>
      </c>
      <c r="M37" s="97">
        <v>1448.95</v>
      </c>
      <c r="N37" s="79">
        <f t="shared" si="5"/>
        <v>134.20676411240217</v>
      </c>
      <c r="O37" s="79">
        <f t="shared" si="6"/>
        <v>194458.89086066512</v>
      </c>
      <c r="P37" s="79">
        <f t="shared" si="7"/>
        <v>5833.7667258199535</v>
      </c>
      <c r="Q37" s="34">
        <f t="shared" si="8"/>
        <v>16953.812249896986</v>
      </c>
      <c r="R37" s="34">
        <f t="shared" si="9"/>
        <v>508.61436749690961</v>
      </c>
      <c r="S37" s="15">
        <f t="shared" si="10"/>
        <v>17462.426617393896</v>
      </c>
    </row>
    <row r="38" spans="1:19" x14ac:dyDescent="0.4">
      <c r="A38" s="225"/>
      <c r="B38" s="235"/>
      <c r="C38" s="246"/>
      <c r="D38" s="247" t="s">
        <v>90</v>
      </c>
      <c r="E38" s="32" t="s">
        <v>98</v>
      </c>
      <c r="F38" s="98" t="s">
        <v>50</v>
      </c>
      <c r="G38" s="78" t="s">
        <v>50</v>
      </c>
      <c r="H38" s="78" t="s">
        <v>50</v>
      </c>
      <c r="I38" s="78" t="s">
        <v>50</v>
      </c>
      <c r="J38" s="33" t="s">
        <v>50</v>
      </c>
      <c r="K38" s="33" t="s">
        <v>50</v>
      </c>
      <c r="L38" s="29" t="s">
        <v>50</v>
      </c>
      <c r="M38" s="98" t="s">
        <v>50</v>
      </c>
      <c r="N38" s="78" t="s">
        <v>50</v>
      </c>
      <c r="O38" s="78" t="s">
        <v>50</v>
      </c>
      <c r="P38" s="78" t="s">
        <v>50</v>
      </c>
      <c r="Q38" s="33" t="s">
        <v>50</v>
      </c>
      <c r="R38" s="33" t="s">
        <v>50</v>
      </c>
      <c r="S38" s="29" t="s">
        <v>50</v>
      </c>
    </row>
    <row r="39" spans="1:19" x14ac:dyDescent="0.4">
      <c r="A39" s="225"/>
      <c r="B39" s="235"/>
      <c r="C39" s="246"/>
      <c r="D39" s="247"/>
      <c r="E39" s="32" t="s">
        <v>101</v>
      </c>
      <c r="F39" s="101">
        <v>1448.95</v>
      </c>
      <c r="G39" s="69">
        <f t="shared" si="0"/>
        <v>151.1415570388952</v>
      </c>
      <c r="H39" s="69">
        <f t="shared" si="1"/>
        <v>218996.55907150722</v>
      </c>
      <c r="I39" s="69">
        <f t="shared" si="2"/>
        <v>6569.8967721452163</v>
      </c>
      <c r="J39" s="67">
        <f>H39*((0.06*(1+0.06)^20)/((1+0.06)^20-1))</f>
        <v>19093.117982104224</v>
      </c>
      <c r="K39" s="67">
        <f t="shared" si="3"/>
        <v>572.79353946312676</v>
      </c>
      <c r="L39" s="80">
        <f t="shared" si="4"/>
        <v>19665.911521567352</v>
      </c>
      <c r="M39" s="99">
        <v>1448.95</v>
      </c>
      <c r="N39" s="78">
        <f t="shared" si="5"/>
        <v>134.20676411240217</v>
      </c>
      <c r="O39" s="78">
        <f t="shared" si="6"/>
        <v>194458.89086066512</v>
      </c>
      <c r="P39" s="78">
        <f t="shared" si="7"/>
        <v>5833.7667258199535</v>
      </c>
      <c r="Q39" s="33">
        <f t="shared" si="8"/>
        <v>16953.812249896986</v>
      </c>
      <c r="R39" s="33">
        <f t="shared" si="9"/>
        <v>508.61436749690961</v>
      </c>
      <c r="S39" s="29">
        <f t="shared" si="10"/>
        <v>17462.426617393896</v>
      </c>
    </row>
    <row r="40" spans="1:19" x14ac:dyDescent="0.4">
      <c r="A40" s="225"/>
      <c r="B40" s="235"/>
      <c r="C40" s="246"/>
      <c r="D40" s="246" t="s">
        <v>91</v>
      </c>
      <c r="E40" s="23" t="s">
        <v>98</v>
      </c>
      <c r="F40" s="100" t="s">
        <v>50</v>
      </c>
      <c r="G40" s="79" t="s">
        <v>50</v>
      </c>
      <c r="H40" s="79" t="s">
        <v>50</v>
      </c>
      <c r="I40" s="79" t="s">
        <v>50</v>
      </c>
      <c r="J40" s="34" t="s">
        <v>50</v>
      </c>
      <c r="K40" s="34" t="s">
        <v>50</v>
      </c>
      <c r="L40" s="15" t="s">
        <v>50</v>
      </c>
      <c r="M40" s="100" t="s">
        <v>50</v>
      </c>
      <c r="N40" s="79" t="s">
        <v>50</v>
      </c>
      <c r="O40" s="79" t="s">
        <v>50</v>
      </c>
      <c r="P40" s="79" t="s">
        <v>50</v>
      </c>
      <c r="Q40" s="34" t="s">
        <v>50</v>
      </c>
      <c r="R40" s="34" t="s">
        <v>50</v>
      </c>
      <c r="S40" s="15" t="s">
        <v>50</v>
      </c>
    </row>
    <row r="41" spans="1:19" x14ac:dyDescent="0.4">
      <c r="A41" s="225"/>
      <c r="B41" s="235"/>
      <c r="C41" s="246"/>
      <c r="D41" s="246"/>
      <c r="E41" s="23" t="s">
        <v>102</v>
      </c>
      <c r="F41" s="101">
        <v>1448.95</v>
      </c>
      <c r="G41" s="69">
        <f t="shared" si="0"/>
        <v>151.1415570388952</v>
      </c>
      <c r="H41" s="69">
        <f t="shared" si="1"/>
        <v>218996.55907150722</v>
      </c>
      <c r="I41" s="69">
        <f t="shared" si="2"/>
        <v>6569.8967721452163</v>
      </c>
      <c r="J41" s="67">
        <f>H41*((0.06*(1+0.06)^20)/((1+0.06)^20-1))</f>
        <v>19093.117982104224</v>
      </c>
      <c r="K41" s="67">
        <f t="shared" si="3"/>
        <v>572.79353946312676</v>
      </c>
      <c r="L41" s="80">
        <f t="shared" si="4"/>
        <v>19665.911521567352</v>
      </c>
      <c r="M41" s="97">
        <v>1448.95</v>
      </c>
      <c r="N41" s="79">
        <f t="shared" si="5"/>
        <v>134.20676411240217</v>
      </c>
      <c r="O41" s="79">
        <f t="shared" si="6"/>
        <v>194458.89086066512</v>
      </c>
      <c r="P41" s="79">
        <f t="shared" si="7"/>
        <v>5833.7667258199535</v>
      </c>
      <c r="Q41" s="34">
        <f t="shared" si="8"/>
        <v>16953.812249896986</v>
      </c>
      <c r="R41" s="34">
        <f t="shared" si="9"/>
        <v>508.61436749690961</v>
      </c>
      <c r="S41" s="15">
        <f t="shared" si="10"/>
        <v>17462.426617393896</v>
      </c>
    </row>
    <row r="42" spans="1:19" x14ac:dyDescent="0.4">
      <c r="A42" s="225"/>
      <c r="B42" s="235"/>
      <c r="C42" s="246"/>
      <c r="D42" s="247" t="s">
        <v>92</v>
      </c>
      <c r="E42" s="32" t="s">
        <v>99</v>
      </c>
      <c r="F42" s="98" t="s">
        <v>50</v>
      </c>
      <c r="G42" s="78" t="s">
        <v>50</v>
      </c>
      <c r="H42" s="78" t="s">
        <v>50</v>
      </c>
      <c r="I42" s="78" t="s">
        <v>50</v>
      </c>
      <c r="J42" s="33" t="s">
        <v>50</v>
      </c>
      <c r="K42" s="33" t="s">
        <v>50</v>
      </c>
      <c r="L42" s="29" t="s">
        <v>50</v>
      </c>
      <c r="M42" s="98" t="s">
        <v>50</v>
      </c>
      <c r="N42" s="78" t="s">
        <v>50</v>
      </c>
      <c r="O42" s="78" t="s">
        <v>50</v>
      </c>
      <c r="P42" s="78" t="s">
        <v>50</v>
      </c>
      <c r="Q42" s="33" t="s">
        <v>50</v>
      </c>
      <c r="R42" s="33" t="s">
        <v>50</v>
      </c>
      <c r="S42" s="29" t="s">
        <v>50</v>
      </c>
    </row>
    <row r="43" spans="1:19" x14ac:dyDescent="0.4">
      <c r="A43" s="225"/>
      <c r="B43" s="235"/>
      <c r="C43" s="246"/>
      <c r="D43" s="247"/>
      <c r="E43" s="32" t="s">
        <v>100</v>
      </c>
      <c r="F43" s="101">
        <v>1448.95</v>
      </c>
      <c r="G43" s="69">
        <f t="shared" si="0"/>
        <v>151.1415570388952</v>
      </c>
      <c r="H43" s="69">
        <f t="shared" si="1"/>
        <v>218996.55907150722</v>
      </c>
      <c r="I43" s="69">
        <f t="shared" si="2"/>
        <v>6569.8967721452163</v>
      </c>
      <c r="J43" s="67">
        <f>H43*((0.06*(1+0.06)^20)/((1+0.06)^20-1))</f>
        <v>19093.117982104224</v>
      </c>
      <c r="K43" s="67">
        <f t="shared" si="3"/>
        <v>572.79353946312676</v>
      </c>
      <c r="L43" s="80">
        <f t="shared" si="4"/>
        <v>19665.911521567352</v>
      </c>
      <c r="M43" s="99">
        <v>1448.95</v>
      </c>
      <c r="N43" s="78">
        <f t="shared" si="5"/>
        <v>134.20676411240217</v>
      </c>
      <c r="O43" s="78">
        <f t="shared" si="6"/>
        <v>194458.89086066512</v>
      </c>
      <c r="P43" s="78">
        <f t="shared" si="7"/>
        <v>5833.7667258199535</v>
      </c>
      <c r="Q43" s="33">
        <f t="shared" si="8"/>
        <v>16953.812249896986</v>
      </c>
      <c r="R43" s="33">
        <f t="shared" si="9"/>
        <v>508.61436749690961</v>
      </c>
      <c r="S43" s="29">
        <f t="shared" si="10"/>
        <v>17462.426617393896</v>
      </c>
    </row>
    <row r="44" spans="1:19" x14ac:dyDescent="0.4">
      <c r="A44" s="225"/>
      <c r="B44" s="235"/>
      <c r="C44" s="246"/>
      <c r="D44" s="246" t="s">
        <v>93</v>
      </c>
      <c r="E44" s="23" t="s">
        <v>99</v>
      </c>
      <c r="F44" s="100" t="s">
        <v>50</v>
      </c>
      <c r="G44" s="79" t="s">
        <v>50</v>
      </c>
      <c r="H44" s="79" t="s">
        <v>50</v>
      </c>
      <c r="I44" s="79" t="s">
        <v>50</v>
      </c>
      <c r="J44" s="34" t="s">
        <v>50</v>
      </c>
      <c r="K44" s="34" t="s">
        <v>50</v>
      </c>
      <c r="L44" s="15" t="s">
        <v>50</v>
      </c>
      <c r="M44" s="100" t="s">
        <v>50</v>
      </c>
      <c r="N44" s="79" t="s">
        <v>50</v>
      </c>
      <c r="O44" s="79" t="s">
        <v>50</v>
      </c>
      <c r="P44" s="79" t="s">
        <v>50</v>
      </c>
      <c r="Q44" s="34" t="s">
        <v>50</v>
      </c>
      <c r="R44" s="34" t="s">
        <v>50</v>
      </c>
      <c r="S44" s="15" t="s">
        <v>50</v>
      </c>
    </row>
    <row r="45" spans="1:19" x14ac:dyDescent="0.4">
      <c r="A45" s="225"/>
      <c r="B45" s="235"/>
      <c r="C45" s="246"/>
      <c r="D45" s="246"/>
      <c r="E45" s="23" t="s">
        <v>101</v>
      </c>
      <c r="F45" s="101">
        <v>1448.95</v>
      </c>
      <c r="G45" s="69">
        <f t="shared" si="0"/>
        <v>151.1415570388952</v>
      </c>
      <c r="H45" s="69">
        <f t="shared" si="1"/>
        <v>218996.55907150722</v>
      </c>
      <c r="I45" s="69">
        <f t="shared" si="2"/>
        <v>6569.8967721452163</v>
      </c>
      <c r="J45" s="67">
        <f>H45*((0.06*(1+0.06)^20)/((1+0.06)^20-1))</f>
        <v>19093.117982104224</v>
      </c>
      <c r="K45" s="67">
        <f t="shared" si="3"/>
        <v>572.79353946312676</v>
      </c>
      <c r="L45" s="80">
        <f t="shared" si="4"/>
        <v>19665.911521567352</v>
      </c>
      <c r="M45" s="97">
        <v>1448.95</v>
      </c>
      <c r="N45" s="79">
        <f t="shared" si="5"/>
        <v>134.20676411240217</v>
      </c>
      <c r="O45" s="79">
        <f t="shared" si="6"/>
        <v>194458.89086066512</v>
      </c>
      <c r="P45" s="79">
        <f t="shared" si="7"/>
        <v>5833.7667258199535</v>
      </c>
      <c r="Q45" s="34">
        <f t="shared" si="8"/>
        <v>16953.812249896986</v>
      </c>
      <c r="R45" s="34">
        <f t="shared" si="9"/>
        <v>508.61436749690961</v>
      </c>
      <c r="S45" s="15">
        <f t="shared" si="10"/>
        <v>17462.426617393896</v>
      </c>
    </row>
    <row r="46" spans="1:19" x14ac:dyDescent="0.4">
      <c r="A46" s="225"/>
      <c r="B46" s="235"/>
      <c r="C46" s="246"/>
      <c r="D46" s="247" t="s">
        <v>94</v>
      </c>
      <c r="E46" s="32" t="s">
        <v>99</v>
      </c>
      <c r="F46" s="98" t="s">
        <v>50</v>
      </c>
      <c r="G46" s="78" t="s">
        <v>50</v>
      </c>
      <c r="H46" s="78" t="s">
        <v>50</v>
      </c>
      <c r="I46" s="78" t="s">
        <v>50</v>
      </c>
      <c r="J46" s="33" t="s">
        <v>50</v>
      </c>
      <c r="K46" s="33" t="s">
        <v>50</v>
      </c>
      <c r="L46" s="29" t="s">
        <v>50</v>
      </c>
      <c r="M46" s="98" t="s">
        <v>50</v>
      </c>
      <c r="N46" s="78" t="s">
        <v>50</v>
      </c>
      <c r="O46" s="78" t="s">
        <v>50</v>
      </c>
      <c r="P46" s="78" t="s">
        <v>50</v>
      </c>
      <c r="Q46" s="33" t="s">
        <v>50</v>
      </c>
      <c r="R46" s="33" t="s">
        <v>50</v>
      </c>
      <c r="S46" s="29" t="s">
        <v>50</v>
      </c>
    </row>
    <row r="47" spans="1:19" x14ac:dyDescent="0.4">
      <c r="A47" s="225"/>
      <c r="B47" s="236"/>
      <c r="C47" s="246"/>
      <c r="D47" s="247"/>
      <c r="E47" s="32" t="s">
        <v>103</v>
      </c>
      <c r="F47" s="101">
        <v>1448.95</v>
      </c>
      <c r="G47" s="69">
        <f t="shared" si="0"/>
        <v>151.1415570388952</v>
      </c>
      <c r="H47" s="69">
        <f t="shared" si="1"/>
        <v>218996.55907150722</v>
      </c>
      <c r="I47" s="69">
        <f t="shared" si="2"/>
        <v>6569.8967721452163</v>
      </c>
      <c r="J47" s="67">
        <f>H47*((0.06*(1+0.06)^20)/((1+0.06)^20-1))</f>
        <v>19093.117982104224</v>
      </c>
      <c r="K47" s="67">
        <f t="shared" si="3"/>
        <v>572.79353946312676</v>
      </c>
      <c r="L47" s="80">
        <f t="shared" si="4"/>
        <v>19665.911521567352</v>
      </c>
      <c r="M47" s="99">
        <v>1448.95</v>
      </c>
      <c r="N47" s="78">
        <f t="shared" si="5"/>
        <v>134.20676411240217</v>
      </c>
      <c r="O47" s="78">
        <f t="shared" si="6"/>
        <v>194458.89086066512</v>
      </c>
      <c r="P47" s="78">
        <f t="shared" si="7"/>
        <v>5833.7667258199535</v>
      </c>
      <c r="Q47" s="33">
        <f t="shared" si="8"/>
        <v>16953.812249896986</v>
      </c>
      <c r="R47" s="33">
        <f t="shared" si="9"/>
        <v>508.61436749690961</v>
      </c>
      <c r="S47" s="29">
        <f t="shared" si="10"/>
        <v>17462.426617393896</v>
      </c>
    </row>
    <row r="48" spans="1:19" x14ac:dyDescent="0.4">
      <c r="A48" s="225"/>
      <c r="B48" s="237" t="s">
        <v>104</v>
      </c>
      <c r="C48" s="240" t="s">
        <v>16</v>
      </c>
      <c r="D48" s="242" t="s">
        <v>56</v>
      </c>
      <c r="E48" s="243"/>
      <c r="F48" s="102" t="s">
        <v>50</v>
      </c>
      <c r="G48" s="40" t="s">
        <v>50</v>
      </c>
      <c r="H48" s="40" t="s">
        <v>50</v>
      </c>
      <c r="I48" s="40" t="s">
        <v>50</v>
      </c>
      <c r="J48" s="83" t="s">
        <v>50</v>
      </c>
      <c r="K48" s="83" t="s">
        <v>50</v>
      </c>
      <c r="L48" s="19" t="s">
        <v>50</v>
      </c>
      <c r="M48" s="102" t="s">
        <v>50</v>
      </c>
      <c r="N48" s="40" t="s">
        <v>50</v>
      </c>
      <c r="O48" s="40" t="s">
        <v>50</v>
      </c>
      <c r="P48" s="40" t="s">
        <v>50</v>
      </c>
      <c r="Q48" s="83" t="s">
        <v>50</v>
      </c>
      <c r="R48" s="83" t="s">
        <v>50</v>
      </c>
      <c r="S48" s="19" t="s">
        <v>50</v>
      </c>
    </row>
    <row r="49" spans="1:19" x14ac:dyDescent="0.4">
      <c r="A49" s="225"/>
      <c r="B49" s="238"/>
      <c r="C49" s="241"/>
      <c r="D49" s="242" t="s">
        <v>75</v>
      </c>
      <c r="E49" s="243"/>
      <c r="F49" s="102" t="s">
        <v>50</v>
      </c>
      <c r="G49" s="40" t="s">
        <v>50</v>
      </c>
      <c r="H49" s="40" t="s">
        <v>50</v>
      </c>
      <c r="I49" s="40" t="s">
        <v>50</v>
      </c>
      <c r="J49" s="83" t="s">
        <v>50</v>
      </c>
      <c r="K49" s="83" t="s">
        <v>50</v>
      </c>
      <c r="L49" s="19" t="s">
        <v>50</v>
      </c>
      <c r="M49" s="102" t="s">
        <v>50</v>
      </c>
      <c r="N49" s="40" t="s">
        <v>50</v>
      </c>
      <c r="O49" s="40" t="s">
        <v>50</v>
      </c>
      <c r="P49" s="40" t="s">
        <v>50</v>
      </c>
      <c r="Q49" s="83" t="s">
        <v>50</v>
      </c>
      <c r="R49" s="83" t="s">
        <v>50</v>
      </c>
      <c r="S49" s="19" t="s">
        <v>50</v>
      </c>
    </row>
    <row r="50" spans="1:19" x14ac:dyDescent="0.4">
      <c r="A50" s="225"/>
      <c r="B50" s="238"/>
      <c r="C50" s="244" t="s">
        <v>79</v>
      </c>
      <c r="D50" s="245" t="s">
        <v>80</v>
      </c>
      <c r="E50" s="41" t="s">
        <v>95</v>
      </c>
      <c r="F50" s="103" t="s">
        <v>50</v>
      </c>
      <c r="G50" s="43" t="s">
        <v>50</v>
      </c>
      <c r="H50" s="43" t="s">
        <v>50</v>
      </c>
      <c r="I50" s="43" t="s">
        <v>50</v>
      </c>
      <c r="J50" s="85" t="s">
        <v>50</v>
      </c>
      <c r="K50" s="85" t="s">
        <v>50</v>
      </c>
      <c r="L50" s="82" t="s">
        <v>50</v>
      </c>
      <c r="M50" s="103" t="s">
        <v>50</v>
      </c>
      <c r="N50" s="43" t="s">
        <v>50</v>
      </c>
      <c r="O50" s="43" t="s">
        <v>50</v>
      </c>
      <c r="P50" s="43" t="s">
        <v>50</v>
      </c>
      <c r="Q50" s="85" t="s">
        <v>50</v>
      </c>
      <c r="R50" s="85" t="s">
        <v>50</v>
      </c>
      <c r="S50" s="82" t="s">
        <v>50</v>
      </c>
    </row>
    <row r="51" spans="1:19" x14ac:dyDescent="0.4">
      <c r="A51" s="225"/>
      <c r="B51" s="238"/>
      <c r="C51" s="244"/>
      <c r="D51" s="245"/>
      <c r="E51" s="41" t="s">
        <v>100</v>
      </c>
      <c r="F51" s="104">
        <v>1448.95</v>
      </c>
      <c r="G51" s="43">
        <f t="shared" si="0"/>
        <v>151.1415570388952</v>
      </c>
      <c r="H51" s="43">
        <f t="shared" si="1"/>
        <v>218996.55907150722</v>
      </c>
      <c r="I51" s="43">
        <f t="shared" si="2"/>
        <v>6569.8967721452163</v>
      </c>
      <c r="J51" s="85">
        <f>H51*((0.06*(1+0.06)^20)/((1+0.06)^20-1))</f>
        <v>19093.117982104224</v>
      </c>
      <c r="K51" s="85">
        <f t="shared" si="3"/>
        <v>572.79353946312676</v>
      </c>
      <c r="L51" s="82">
        <f t="shared" si="4"/>
        <v>19665.911521567352</v>
      </c>
      <c r="M51" s="104">
        <v>1448.95</v>
      </c>
      <c r="N51" s="43">
        <f t="shared" si="5"/>
        <v>134.20676411240217</v>
      </c>
      <c r="O51" s="43">
        <f t="shared" si="6"/>
        <v>194458.89086066512</v>
      </c>
      <c r="P51" s="43">
        <f t="shared" si="7"/>
        <v>5833.7667258199535</v>
      </c>
      <c r="Q51" s="85">
        <f t="shared" si="8"/>
        <v>16953.812249896986</v>
      </c>
      <c r="R51" s="85">
        <f t="shared" si="9"/>
        <v>508.61436749690961</v>
      </c>
      <c r="S51" s="82">
        <f t="shared" si="10"/>
        <v>17462.426617393896</v>
      </c>
    </row>
    <row r="52" spans="1:19" x14ac:dyDescent="0.4">
      <c r="A52" s="225"/>
      <c r="B52" s="238"/>
      <c r="C52" s="244"/>
      <c r="D52" s="244" t="s">
        <v>81</v>
      </c>
      <c r="E52" s="31" t="s">
        <v>95</v>
      </c>
      <c r="F52" s="93" t="s">
        <v>50</v>
      </c>
      <c r="G52" s="40" t="s">
        <v>50</v>
      </c>
      <c r="H52" s="40" t="s">
        <v>50</v>
      </c>
      <c r="I52" s="40" t="s">
        <v>50</v>
      </c>
      <c r="J52" s="83" t="s">
        <v>50</v>
      </c>
      <c r="K52" s="83" t="s">
        <v>50</v>
      </c>
      <c r="L52" s="19" t="s">
        <v>50</v>
      </c>
      <c r="M52" s="93" t="s">
        <v>50</v>
      </c>
      <c r="N52" s="40" t="s">
        <v>50</v>
      </c>
      <c r="O52" s="40" t="s">
        <v>50</v>
      </c>
      <c r="P52" s="40" t="s">
        <v>50</v>
      </c>
      <c r="Q52" s="83" t="s">
        <v>50</v>
      </c>
      <c r="R52" s="83" t="s">
        <v>50</v>
      </c>
      <c r="S52" s="19" t="s">
        <v>50</v>
      </c>
    </row>
    <row r="53" spans="1:19" x14ac:dyDescent="0.4">
      <c r="A53" s="225"/>
      <c r="B53" s="238"/>
      <c r="C53" s="244"/>
      <c r="D53" s="244"/>
      <c r="E53" s="31" t="s">
        <v>101</v>
      </c>
      <c r="F53" s="102">
        <v>1448.95</v>
      </c>
      <c r="G53" s="40">
        <f t="shared" si="0"/>
        <v>151.1415570388952</v>
      </c>
      <c r="H53" s="40">
        <f t="shared" si="1"/>
        <v>218996.55907150722</v>
      </c>
      <c r="I53" s="40">
        <f t="shared" si="2"/>
        <v>6569.8967721452163</v>
      </c>
      <c r="J53" s="83">
        <f>H53*((0.06*(1+0.06)^20)/((1+0.06)^20-1))</f>
        <v>19093.117982104224</v>
      </c>
      <c r="K53" s="83">
        <f t="shared" si="3"/>
        <v>572.79353946312676</v>
      </c>
      <c r="L53" s="19">
        <f t="shared" si="4"/>
        <v>19665.911521567352</v>
      </c>
      <c r="M53" s="102">
        <v>1448.95</v>
      </c>
      <c r="N53" s="40">
        <f t="shared" si="5"/>
        <v>134.20676411240217</v>
      </c>
      <c r="O53" s="40">
        <f t="shared" si="6"/>
        <v>194458.89086066512</v>
      </c>
      <c r="P53" s="40">
        <f t="shared" si="7"/>
        <v>5833.7667258199535</v>
      </c>
      <c r="Q53" s="83">
        <f t="shared" si="8"/>
        <v>16953.812249896986</v>
      </c>
      <c r="R53" s="83">
        <f t="shared" si="9"/>
        <v>508.61436749690961</v>
      </c>
      <c r="S53" s="19">
        <f t="shared" si="10"/>
        <v>17462.426617393896</v>
      </c>
    </row>
    <row r="54" spans="1:19" x14ac:dyDescent="0.4">
      <c r="A54" s="225"/>
      <c r="B54" s="238"/>
      <c r="C54" s="244"/>
      <c r="D54" s="245" t="s">
        <v>82</v>
      </c>
      <c r="E54" s="41" t="s">
        <v>95</v>
      </c>
      <c r="F54" s="103" t="s">
        <v>50</v>
      </c>
      <c r="G54" s="43" t="s">
        <v>50</v>
      </c>
      <c r="H54" s="43" t="s">
        <v>50</v>
      </c>
      <c r="I54" s="43" t="s">
        <v>50</v>
      </c>
      <c r="J54" s="85" t="s">
        <v>50</v>
      </c>
      <c r="K54" s="85" t="s">
        <v>50</v>
      </c>
      <c r="L54" s="82" t="s">
        <v>50</v>
      </c>
      <c r="M54" s="103" t="s">
        <v>50</v>
      </c>
      <c r="N54" s="43" t="s">
        <v>50</v>
      </c>
      <c r="O54" s="43" t="s">
        <v>50</v>
      </c>
      <c r="P54" s="43" t="s">
        <v>50</v>
      </c>
      <c r="Q54" s="85" t="s">
        <v>50</v>
      </c>
      <c r="R54" s="85" t="s">
        <v>50</v>
      </c>
      <c r="S54" s="82" t="s">
        <v>50</v>
      </c>
    </row>
    <row r="55" spans="1:19" x14ac:dyDescent="0.4">
      <c r="A55" s="225"/>
      <c r="B55" s="238"/>
      <c r="C55" s="244"/>
      <c r="D55" s="245"/>
      <c r="E55" s="41" t="s">
        <v>102</v>
      </c>
      <c r="F55" s="104">
        <v>1448.95</v>
      </c>
      <c r="G55" s="43">
        <f t="shared" si="0"/>
        <v>151.1415570388952</v>
      </c>
      <c r="H55" s="43">
        <f t="shared" si="1"/>
        <v>218996.55907150722</v>
      </c>
      <c r="I55" s="43">
        <f t="shared" si="2"/>
        <v>6569.8967721452163</v>
      </c>
      <c r="J55" s="85">
        <f>H55*((0.06*(1+0.06)^20)/((1+0.06)^20-1))</f>
        <v>19093.117982104224</v>
      </c>
      <c r="K55" s="85">
        <f t="shared" si="3"/>
        <v>572.79353946312676</v>
      </c>
      <c r="L55" s="82">
        <f t="shared" si="4"/>
        <v>19665.911521567352</v>
      </c>
      <c r="M55" s="104">
        <v>1448.95</v>
      </c>
      <c r="N55" s="43">
        <f t="shared" si="5"/>
        <v>134.20676411240217</v>
      </c>
      <c r="O55" s="43">
        <f t="shared" si="6"/>
        <v>194458.89086066512</v>
      </c>
      <c r="P55" s="43">
        <f t="shared" si="7"/>
        <v>5833.7667258199535</v>
      </c>
      <c r="Q55" s="85">
        <f t="shared" si="8"/>
        <v>16953.812249896986</v>
      </c>
      <c r="R55" s="85">
        <f t="shared" si="9"/>
        <v>508.61436749690961</v>
      </c>
      <c r="S55" s="82">
        <f t="shared" si="10"/>
        <v>17462.426617393896</v>
      </c>
    </row>
    <row r="56" spans="1:19" x14ac:dyDescent="0.4">
      <c r="A56" s="225"/>
      <c r="B56" s="238"/>
      <c r="C56" s="244"/>
      <c r="D56" s="244" t="s">
        <v>83</v>
      </c>
      <c r="E56" s="31" t="s">
        <v>96</v>
      </c>
      <c r="F56" s="93" t="s">
        <v>50</v>
      </c>
      <c r="G56" s="40" t="s">
        <v>50</v>
      </c>
      <c r="H56" s="40" t="s">
        <v>50</v>
      </c>
      <c r="I56" s="40" t="s">
        <v>50</v>
      </c>
      <c r="J56" s="83" t="s">
        <v>50</v>
      </c>
      <c r="K56" s="83" t="s">
        <v>50</v>
      </c>
      <c r="L56" s="19" t="s">
        <v>50</v>
      </c>
      <c r="M56" s="93" t="s">
        <v>50</v>
      </c>
      <c r="N56" s="40" t="s">
        <v>50</v>
      </c>
      <c r="O56" s="40" t="s">
        <v>50</v>
      </c>
      <c r="P56" s="40" t="s">
        <v>50</v>
      </c>
      <c r="Q56" s="83" t="s">
        <v>50</v>
      </c>
      <c r="R56" s="83" t="s">
        <v>50</v>
      </c>
      <c r="S56" s="19" t="s">
        <v>50</v>
      </c>
    </row>
    <row r="57" spans="1:19" x14ac:dyDescent="0.4">
      <c r="A57" s="225"/>
      <c r="B57" s="238"/>
      <c r="C57" s="244"/>
      <c r="D57" s="244"/>
      <c r="E57" s="31" t="s">
        <v>100</v>
      </c>
      <c r="F57" s="102">
        <v>1448.95</v>
      </c>
      <c r="G57" s="40">
        <f t="shared" si="0"/>
        <v>151.1415570388952</v>
      </c>
      <c r="H57" s="40">
        <f t="shared" si="1"/>
        <v>218996.55907150722</v>
      </c>
      <c r="I57" s="40">
        <f t="shared" si="2"/>
        <v>6569.8967721452163</v>
      </c>
      <c r="J57" s="83">
        <f>H57*((0.06*(1+0.06)^20)/((1+0.06)^20-1))</f>
        <v>19093.117982104224</v>
      </c>
      <c r="K57" s="83">
        <f t="shared" si="3"/>
        <v>572.79353946312676</v>
      </c>
      <c r="L57" s="19">
        <f t="shared" si="4"/>
        <v>19665.911521567352</v>
      </c>
      <c r="M57" s="102">
        <v>1448.95</v>
      </c>
      <c r="N57" s="40">
        <f t="shared" si="5"/>
        <v>134.20676411240217</v>
      </c>
      <c r="O57" s="40">
        <f t="shared" si="6"/>
        <v>194458.89086066512</v>
      </c>
      <c r="P57" s="40">
        <f t="shared" si="7"/>
        <v>5833.7667258199535</v>
      </c>
      <c r="Q57" s="83">
        <f t="shared" si="8"/>
        <v>16953.812249896986</v>
      </c>
      <c r="R57" s="83">
        <f t="shared" si="9"/>
        <v>508.61436749690961</v>
      </c>
      <c r="S57" s="19">
        <f t="shared" si="10"/>
        <v>17462.426617393896</v>
      </c>
    </row>
    <row r="58" spans="1:19" x14ac:dyDescent="0.4">
      <c r="A58" s="225"/>
      <c r="B58" s="238"/>
      <c r="C58" s="244"/>
      <c r="D58" s="245" t="s">
        <v>84</v>
      </c>
      <c r="E58" s="41" t="s">
        <v>96</v>
      </c>
      <c r="F58" s="103" t="s">
        <v>50</v>
      </c>
      <c r="G58" s="43" t="s">
        <v>50</v>
      </c>
      <c r="H58" s="43" t="s">
        <v>50</v>
      </c>
      <c r="I58" s="43" t="s">
        <v>50</v>
      </c>
      <c r="J58" s="85" t="s">
        <v>50</v>
      </c>
      <c r="K58" s="85" t="s">
        <v>50</v>
      </c>
      <c r="L58" s="82" t="s">
        <v>50</v>
      </c>
      <c r="M58" s="103" t="s">
        <v>50</v>
      </c>
      <c r="N58" s="43" t="s">
        <v>50</v>
      </c>
      <c r="O58" s="43" t="s">
        <v>50</v>
      </c>
      <c r="P58" s="43" t="s">
        <v>50</v>
      </c>
      <c r="Q58" s="85" t="s">
        <v>50</v>
      </c>
      <c r="R58" s="85" t="s">
        <v>50</v>
      </c>
      <c r="S58" s="82" t="s">
        <v>50</v>
      </c>
    </row>
    <row r="59" spans="1:19" x14ac:dyDescent="0.4">
      <c r="A59" s="225"/>
      <c r="B59" s="238"/>
      <c r="C59" s="244"/>
      <c r="D59" s="245"/>
      <c r="E59" s="41" t="s">
        <v>101</v>
      </c>
      <c r="F59" s="104">
        <v>1448.95</v>
      </c>
      <c r="G59" s="43">
        <f t="shared" si="0"/>
        <v>151.1415570388952</v>
      </c>
      <c r="H59" s="43">
        <f t="shared" si="1"/>
        <v>218996.55907150722</v>
      </c>
      <c r="I59" s="43">
        <f t="shared" si="2"/>
        <v>6569.8967721452163</v>
      </c>
      <c r="J59" s="85">
        <f>H59*((0.06*(1+0.06)^20)/((1+0.06)^20-1))</f>
        <v>19093.117982104224</v>
      </c>
      <c r="K59" s="85">
        <f t="shared" si="3"/>
        <v>572.79353946312676</v>
      </c>
      <c r="L59" s="82">
        <f t="shared" si="4"/>
        <v>19665.911521567352</v>
      </c>
      <c r="M59" s="104">
        <v>1448.95</v>
      </c>
      <c r="N59" s="43">
        <f t="shared" si="5"/>
        <v>134.20676411240217</v>
      </c>
      <c r="O59" s="43">
        <f t="shared" si="6"/>
        <v>194458.89086066512</v>
      </c>
      <c r="P59" s="43">
        <f t="shared" si="7"/>
        <v>5833.7667258199535</v>
      </c>
      <c r="Q59" s="85">
        <f t="shared" si="8"/>
        <v>16953.812249896986</v>
      </c>
      <c r="R59" s="85">
        <f t="shared" si="9"/>
        <v>508.61436749690961</v>
      </c>
      <c r="S59" s="82">
        <f t="shared" si="10"/>
        <v>17462.426617393896</v>
      </c>
    </row>
    <row r="60" spans="1:19" x14ac:dyDescent="0.4">
      <c r="A60" s="225"/>
      <c r="B60" s="238"/>
      <c r="C60" s="244"/>
      <c r="D60" s="244" t="s">
        <v>85</v>
      </c>
      <c r="E60" s="31" t="s">
        <v>96</v>
      </c>
      <c r="F60" s="93" t="s">
        <v>50</v>
      </c>
      <c r="G60" s="40" t="s">
        <v>50</v>
      </c>
      <c r="H60" s="40" t="s">
        <v>50</v>
      </c>
      <c r="I60" s="40" t="s">
        <v>50</v>
      </c>
      <c r="J60" s="83" t="s">
        <v>50</v>
      </c>
      <c r="K60" s="83" t="s">
        <v>50</v>
      </c>
      <c r="L60" s="19" t="s">
        <v>50</v>
      </c>
      <c r="M60" s="93" t="s">
        <v>50</v>
      </c>
      <c r="N60" s="40" t="s">
        <v>50</v>
      </c>
      <c r="O60" s="40" t="s">
        <v>50</v>
      </c>
      <c r="P60" s="40" t="s">
        <v>50</v>
      </c>
      <c r="Q60" s="83" t="s">
        <v>50</v>
      </c>
      <c r="R60" s="83" t="s">
        <v>50</v>
      </c>
      <c r="S60" s="19" t="s">
        <v>50</v>
      </c>
    </row>
    <row r="61" spans="1:19" x14ac:dyDescent="0.4">
      <c r="A61" s="225"/>
      <c r="B61" s="238"/>
      <c r="C61" s="244"/>
      <c r="D61" s="244"/>
      <c r="E61" s="31" t="s">
        <v>102</v>
      </c>
      <c r="F61" s="102">
        <v>1448.95</v>
      </c>
      <c r="G61" s="40">
        <f t="shared" si="0"/>
        <v>151.1415570388952</v>
      </c>
      <c r="H61" s="40">
        <f t="shared" si="1"/>
        <v>218996.55907150722</v>
      </c>
      <c r="I61" s="40">
        <f t="shared" si="2"/>
        <v>6569.8967721452163</v>
      </c>
      <c r="J61" s="83">
        <f>H61*((0.06*(1+0.06)^20)/((1+0.06)^20-1))</f>
        <v>19093.117982104224</v>
      </c>
      <c r="K61" s="83">
        <f t="shared" si="3"/>
        <v>572.79353946312676</v>
      </c>
      <c r="L61" s="19">
        <f t="shared" si="4"/>
        <v>19665.911521567352</v>
      </c>
      <c r="M61" s="102">
        <v>1448.95</v>
      </c>
      <c r="N61" s="40">
        <f t="shared" si="5"/>
        <v>134.20676411240217</v>
      </c>
      <c r="O61" s="40">
        <f t="shared" si="6"/>
        <v>194458.89086066512</v>
      </c>
      <c r="P61" s="40">
        <f t="shared" si="7"/>
        <v>5833.7667258199535</v>
      </c>
      <c r="Q61" s="83">
        <f t="shared" si="8"/>
        <v>16953.812249896986</v>
      </c>
      <c r="R61" s="83">
        <f t="shared" si="9"/>
        <v>508.61436749690961</v>
      </c>
      <c r="S61" s="19">
        <f t="shared" si="10"/>
        <v>17462.426617393896</v>
      </c>
    </row>
    <row r="62" spans="1:19" x14ac:dyDescent="0.4">
      <c r="A62" s="225"/>
      <c r="B62" s="238"/>
      <c r="C62" s="244"/>
      <c r="D62" s="245" t="s">
        <v>86</v>
      </c>
      <c r="E62" s="41" t="s">
        <v>97</v>
      </c>
      <c r="F62" s="103" t="s">
        <v>50</v>
      </c>
      <c r="G62" s="43" t="s">
        <v>50</v>
      </c>
      <c r="H62" s="43" t="s">
        <v>50</v>
      </c>
      <c r="I62" s="43" t="s">
        <v>50</v>
      </c>
      <c r="J62" s="85" t="s">
        <v>50</v>
      </c>
      <c r="K62" s="85" t="s">
        <v>50</v>
      </c>
      <c r="L62" s="82" t="s">
        <v>50</v>
      </c>
      <c r="M62" s="103" t="s">
        <v>50</v>
      </c>
      <c r="N62" s="43" t="s">
        <v>50</v>
      </c>
      <c r="O62" s="43" t="s">
        <v>50</v>
      </c>
      <c r="P62" s="43" t="s">
        <v>50</v>
      </c>
      <c r="Q62" s="85" t="s">
        <v>50</v>
      </c>
      <c r="R62" s="85" t="s">
        <v>50</v>
      </c>
      <c r="S62" s="82" t="s">
        <v>50</v>
      </c>
    </row>
    <row r="63" spans="1:19" x14ac:dyDescent="0.4">
      <c r="A63" s="225"/>
      <c r="B63" s="238"/>
      <c r="C63" s="244"/>
      <c r="D63" s="245"/>
      <c r="E63" s="41" t="s">
        <v>100</v>
      </c>
      <c r="F63" s="101">
        <v>1448.95</v>
      </c>
      <c r="G63" s="69">
        <f t="shared" si="0"/>
        <v>151.1415570388952</v>
      </c>
      <c r="H63" s="69">
        <f t="shared" si="1"/>
        <v>218996.55907150722</v>
      </c>
      <c r="I63" s="69">
        <f t="shared" si="2"/>
        <v>6569.8967721452163</v>
      </c>
      <c r="J63" s="67">
        <f>H63*((0.06*(1+0.06)^20)/((1+0.06)^20-1))</f>
        <v>19093.117982104224</v>
      </c>
      <c r="K63" s="67">
        <f t="shared" si="3"/>
        <v>572.79353946312676</v>
      </c>
      <c r="L63" s="80">
        <f t="shared" si="4"/>
        <v>19665.911521567352</v>
      </c>
      <c r="M63" s="104">
        <v>1448.95</v>
      </c>
      <c r="N63" s="43">
        <f t="shared" si="5"/>
        <v>134.20676411240217</v>
      </c>
      <c r="O63" s="43">
        <f t="shared" si="6"/>
        <v>194458.89086066512</v>
      </c>
      <c r="P63" s="43">
        <f t="shared" si="7"/>
        <v>5833.7667258199535</v>
      </c>
      <c r="Q63" s="85">
        <f t="shared" si="8"/>
        <v>16953.812249896986</v>
      </c>
      <c r="R63" s="85">
        <f t="shared" si="9"/>
        <v>508.61436749690961</v>
      </c>
      <c r="S63" s="82">
        <f t="shared" si="10"/>
        <v>17462.426617393896</v>
      </c>
    </row>
    <row r="64" spans="1:19" x14ac:dyDescent="0.4">
      <c r="A64" s="225"/>
      <c r="B64" s="238"/>
      <c r="C64" s="244"/>
      <c r="D64" s="244" t="s">
        <v>87</v>
      </c>
      <c r="E64" s="31" t="s">
        <v>97</v>
      </c>
      <c r="F64" s="93" t="s">
        <v>50</v>
      </c>
      <c r="G64" s="40" t="s">
        <v>50</v>
      </c>
      <c r="H64" s="40" t="s">
        <v>50</v>
      </c>
      <c r="I64" s="40" t="s">
        <v>50</v>
      </c>
      <c r="J64" s="83" t="s">
        <v>50</v>
      </c>
      <c r="K64" s="83" t="s">
        <v>50</v>
      </c>
      <c r="L64" s="19" t="s">
        <v>50</v>
      </c>
      <c r="M64" s="93" t="s">
        <v>50</v>
      </c>
      <c r="N64" s="40" t="s">
        <v>50</v>
      </c>
      <c r="O64" s="40" t="s">
        <v>50</v>
      </c>
      <c r="P64" s="40" t="s">
        <v>50</v>
      </c>
      <c r="Q64" s="83" t="s">
        <v>50</v>
      </c>
      <c r="R64" s="83" t="s">
        <v>50</v>
      </c>
      <c r="S64" s="19" t="s">
        <v>50</v>
      </c>
    </row>
    <row r="65" spans="1:19" x14ac:dyDescent="0.4">
      <c r="A65" s="225"/>
      <c r="B65" s="238"/>
      <c r="C65" s="244"/>
      <c r="D65" s="244"/>
      <c r="E65" s="31" t="s">
        <v>101</v>
      </c>
      <c r="F65" s="101">
        <v>1448.95</v>
      </c>
      <c r="G65" s="69">
        <f t="shared" si="0"/>
        <v>151.1415570388952</v>
      </c>
      <c r="H65" s="69">
        <f t="shared" si="1"/>
        <v>218996.55907150722</v>
      </c>
      <c r="I65" s="69">
        <f t="shared" si="2"/>
        <v>6569.8967721452163</v>
      </c>
      <c r="J65" s="67">
        <f>H65*((0.06*(1+0.06)^20)/((1+0.06)^20-1))</f>
        <v>19093.117982104224</v>
      </c>
      <c r="K65" s="67">
        <f t="shared" si="3"/>
        <v>572.79353946312676</v>
      </c>
      <c r="L65" s="80">
        <f t="shared" si="4"/>
        <v>19665.911521567352</v>
      </c>
      <c r="M65" s="102">
        <v>1448.95</v>
      </c>
      <c r="N65" s="40">
        <f t="shared" si="5"/>
        <v>134.20676411240217</v>
      </c>
      <c r="O65" s="40">
        <f t="shared" si="6"/>
        <v>194458.89086066512</v>
      </c>
      <c r="P65" s="40">
        <f t="shared" si="7"/>
        <v>5833.7667258199535</v>
      </c>
      <c r="Q65" s="83">
        <f t="shared" si="8"/>
        <v>16953.812249896986</v>
      </c>
      <c r="R65" s="83">
        <f t="shared" si="9"/>
        <v>508.61436749690961</v>
      </c>
      <c r="S65" s="19">
        <f t="shared" si="10"/>
        <v>17462.426617393896</v>
      </c>
    </row>
    <row r="66" spans="1:19" x14ac:dyDescent="0.4">
      <c r="A66" s="225"/>
      <c r="B66" s="238"/>
      <c r="C66" s="244"/>
      <c r="D66" s="245" t="s">
        <v>88</v>
      </c>
      <c r="E66" s="41" t="s">
        <v>97</v>
      </c>
      <c r="F66" s="103" t="s">
        <v>50</v>
      </c>
      <c r="G66" s="43" t="s">
        <v>50</v>
      </c>
      <c r="H66" s="43" t="s">
        <v>50</v>
      </c>
      <c r="I66" s="43" t="s">
        <v>50</v>
      </c>
      <c r="J66" s="85" t="s">
        <v>50</v>
      </c>
      <c r="K66" s="85" t="s">
        <v>50</v>
      </c>
      <c r="L66" s="82" t="s">
        <v>50</v>
      </c>
      <c r="M66" s="103" t="s">
        <v>50</v>
      </c>
      <c r="N66" s="43" t="s">
        <v>50</v>
      </c>
      <c r="O66" s="43" t="s">
        <v>50</v>
      </c>
      <c r="P66" s="43" t="s">
        <v>50</v>
      </c>
      <c r="Q66" s="85" t="s">
        <v>50</v>
      </c>
      <c r="R66" s="85" t="s">
        <v>50</v>
      </c>
      <c r="S66" s="82" t="s">
        <v>50</v>
      </c>
    </row>
    <row r="67" spans="1:19" x14ac:dyDescent="0.4">
      <c r="A67" s="225"/>
      <c r="B67" s="238"/>
      <c r="C67" s="244"/>
      <c r="D67" s="245"/>
      <c r="E67" s="41" t="s">
        <v>102</v>
      </c>
      <c r="F67" s="101">
        <v>1448.95</v>
      </c>
      <c r="G67" s="69">
        <f t="shared" si="0"/>
        <v>151.1415570388952</v>
      </c>
      <c r="H67" s="69">
        <f t="shared" si="1"/>
        <v>218996.55907150722</v>
      </c>
      <c r="I67" s="69">
        <f t="shared" si="2"/>
        <v>6569.8967721452163</v>
      </c>
      <c r="J67" s="67">
        <f>H67*((0.06*(1+0.06)^20)/((1+0.06)^20-1))</f>
        <v>19093.117982104224</v>
      </c>
      <c r="K67" s="67">
        <f t="shared" si="3"/>
        <v>572.79353946312676</v>
      </c>
      <c r="L67" s="80">
        <f t="shared" si="4"/>
        <v>19665.911521567352</v>
      </c>
      <c r="M67" s="104">
        <v>1448.95</v>
      </c>
      <c r="N67" s="43">
        <f t="shared" si="5"/>
        <v>134.20676411240217</v>
      </c>
      <c r="O67" s="43">
        <f t="shared" si="6"/>
        <v>194458.89086066512</v>
      </c>
      <c r="P67" s="43">
        <f t="shared" si="7"/>
        <v>5833.7667258199535</v>
      </c>
      <c r="Q67" s="85">
        <f t="shared" si="8"/>
        <v>16953.812249896986</v>
      </c>
      <c r="R67" s="85">
        <f t="shared" si="9"/>
        <v>508.61436749690961</v>
      </c>
      <c r="S67" s="82">
        <f t="shared" si="10"/>
        <v>17462.426617393896</v>
      </c>
    </row>
    <row r="68" spans="1:19" x14ac:dyDescent="0.4">
      <c r="A68" s="225"/>
      <c r="B68" s="238"/>
      <c r="C68" s="244"/>
      <c r="D68" s="244" t="s">
        <v>89</v>
      </c>
      <c r="E68" s="31" t="s">
        <v>98</v>
      </c>
      <c r="F68" s="93" t="s">
        <v>50</v>
      </c>
      <c r="G68" s="40" t="s">
        <v>50</v>
      </c>
      <c r="H68" s="40" t="s">
        <v>50</v>
      </c>
      <c r="I68" s="40" t="s">
        <v>50</v>
      </c>
      <c r="J68" s="83" t="s">
        <v>50</v>
      </c>
      <c r="K68" s="83" t="s">
        <v>50</v>
      </c>
      <c r="L68" s="19" t="s">
        <v>50</v>
      </c>
      <c r="M68" s="93" t="s">
        <v>50</v>
      </c>
      <c r="N68" s="40" t="s">
        <v>50</v>
      </c>
      <c r="O68" s="40" t="s">
        <v>50</v>
      </c>
      <c r="P68" s="40" t="s">
        <v>50</v>
      </c>
      <c r="Q68" s="83" t="s">
        <v>50</v>
      </c>
      <c r="R68" s="83" t="s">
        <v>50</v>
      </c>
      <c r="S68" s="19" t="s">
        <v>50</v>
      </c>
    </row>
    <row r="69" spans="1:19" x14ac:dyDescent="0.4">
      <c r="A69" s="225"/>
      <c r="B69" s="238"/>
      <c r="C69" s="244"/>
      <c r="D69" s="244"/>
      <c r="E69" s="31" t="s">
        <v>100</v>
      </c>
      <c r="F69" s="101">
        <v>1448.95</v>
      </c>
      <c r="G69" s="69">
        <f t="shared" si="0"/>
        <v>151.1415570388952</v>
      </c>
      <c r="H69" s="69">
        <f t="shared" si="1"/>
        <v>218996.55907150722</v>
      </c>
      <c r="I69" s="69">
        <f t="shared" si="2"/>
        <v>6569.8967721452163</v>
      </c>
      <c r="J69" s="67">
        <f>H69*((0.06*(1+0.06)^20)/((1+0.06)^20-1))</f>
        <v>19093.117982104224</v>
      </c>
      <c r="K69" s="67">
        <f t="shared" si="3"/>
        <v>572.79353946312676</v>
      </c>
      <c r="L69" s="80">
        <f t="shared" si="4"/>
        <v>19665.911521567352</v>
      </c>
      <c r="M69" s="102">
        <v>1448.95</v>
      </c>
      <c r="N69" s="40">
        <f t="shared" si="5"/>
        <v>134.20676411240217</v>
      </c>
      <c r="O69" s="40">
        <f t="shared" si="6"/>
        <v>194458.89086066512</v>
      </c>
      <c r="P69" s="40">
        <f t="shared" si="7"/>
        <v>5833.7667258199535</v>
      </c>
      <c r="Q69" s="83">
        <f t="shared" si="8"/>
        <v>16953.812249896986</v>
      </c>
      <c r="R69" s="83">
        <f t="shared" si="9"/>
        <v>508.61436749690961</v>
      </c>
      <c r="S69" s="19">
        <f t="shared" si="10"/>
        <v>17462.426617393896</v>
      </c>
    </row>
    <row r="70" spans="1:19" x14ac:dyDescent="0.4">
      <c r="A70" s="225"/>
      <c r="B70" s="238"/>
      <c r="C70" s="244"/>
      <c r="D70" s="245" t="s">
        <v>90</v>
      </c>
      <c r="E70" s="41" t="s">
        <v>98</v>
      </c>
      <c r="F70" s="103" t="s">
        <v>50</v>
      </c>
      <c r="G70" s="43" t="s">
        <v>50</v>
      </c>
      <c r="H70" s="43" t="s">
        <v>50</v>
      </c>
      <c r="I70" s="43" t="s">
        <v>50</v>
      </c>
      <c r="J70" s="85" t="s">
        <v>50</v>
      </c>
      <c r="K70" s="85" t="s">
        <v>50</v>
      </c>
      <c r="L70" s="82" t="s">
        <v>50</v>
      </c>
      <c r="M70" s="103" t="s">
        <v>50</v>
      </c>
      <c r="N70" s="43" t="s">
        <v>50</v>
      </c>
      <c r="O70" s="43" t="s">
        <v>50</v>
      </c>
      <c r="P70" s="43" t="s">
        <v>50</v>
      </c>
      <c r="Q70" s="85" t="s">
        <v>50</v>
      </c>
      <c r="R70" s="85" t="s">
        <v>50</v>
      </c>
      <c r="S70" s="82" t="s">
        <v>50</v>
      </c>
    </row>
    <row r="71" spans="1:19" x14ac:dyDescent="0.4">
      <c r="A71" s="225"/>
      <c r="B71" s="238"/>
      <c r="C71" s="244"/>
      <c r="D71" s="245"/>
      <c r="E71" s="41" t="s">
        <v>101</v>
      </c>
      <c r="F71" s="101">
        <v>1448.95</v>
      </c>
      <c r="G71" s="69">
        <f t="shared" ref="G71:G79" si="11">4300*(F71)^-0.46</f>
        <v>151.1415570388952</v>
      </c>
      <c r="H71" s="69">
        <f t="shared" ref="H71:H79" si="12">F71*(G71)</f>
        <v>218996.55907150722</v>
      </c>
      <c r="I71" s="69">
        <f t="shared" ref="I71:I79" si="13">0.03*H71</f>
        <v>6569.8967721452163</v>
      </c>
      <c r="J71" s="67">
        <f>H71*((0.06*(1+0.06)^20)/((1+0.06)^20-1))</f>
        <v>19093.117982104224</v>
      </c>
      <c r="K71" s="67">
        <f t="shared" ref="K71:K79" si="14">I71*((0.06*(1+0.06)^20)/((1+0.06)^20-1))</f>
        <v>572.79353946312676</v>
      </c>
      <c r="L71" s="80">
        <f t="shared" ref="L71:L79" si="15">J71+K71</f>
        <v>19665.911521567352</v>
      </c>
      <c r="M71" s="104">
        <v>1448.95</v>
      </c>
      <c r="N71" s="43">
        <f t="shared" ref="N71:N79" si="16">6543*(M71)^-0.534</f>
        <v>134.20676411240217</v>
      </c>
      <c r="O71" s="43">
        <f t="shared" ref="O71:O79" si="17">M71*N71</f>
        <v>194458.89086066512</v>
      </c>
      <c r="P71" s="43">
        <f t="shared" ref="P71:P79" si="18">0.03*O71</f>
        <v>5833.7667258199535</v>
      </c>
      <c r="Q71" s="85">
        <f t="shared" ref="Q71:Q79" si="19">O71*((0.06*(1+0.06)^20)/((1+0.06)^20-1))</f>
        <v>16953.812249896986</v>
      </c>
      <c r="R71" s="85">
        <f t="shared" ref="R71:R79" si="20">P71*((0.06*(1+0.06)^20)/((1+0.06)^20-1))</f>
        <v>508.61436749690961</v>
      </c>
      <c r="S71" s="82">
        <f t="shared" ref="S71:S79" si="21">Q71+R71</f>
        <v>17462.426617393896</v>
      </c>
    </row>
    <row r="72" spans="1:19" x14ac:dyDescent="0.4">
      <c r="A72" s="225"/>
      <c r="B72" s="238"/>
      <c r="C72" s="244"/>
      <c r="D72" s="244" t="s">
        <v>91</v>
      </c>
      <c r="E72" s="31" t="s">
        <v>98</v>
      </c>
      <c r="F72" s="93" t="s">
        <v>50</v>
      </c>
      <c r="G72" s="40" t="s">
        <v>50</v>
      </c>
      <c r="H72" s="40" t="s">
        <v>50</v>
      </c>
      <c r="I72" s="40" t="s">
        <v>50</v>
      </c>
      <c r="J72" s="83" t="s">
        <v>50</v>
      </c>
      <c r="K72" s="83" t="s">
        <v>50</v>
      </c>
      <c r="L72" s="19" t="s">
        <v>50</v>
      </c>
      <c r="M72" s="93" t="s">
        <v>50</v>
      </c>
      <c r="N72" s="40" t="s">
        <v>50</v>
      </c>
      <c r="O72" s="40" t="s">
        <v>50</v>
      </c>
      <c r="P72" s="40" t="s">
        <v>50</v>
      </c>
      <c r="Q72" s="83" t="s">
        <v>50</v>
      </c>
      <c r="R72" s="83" t="s">
        <v>50</v>
      </c>
      <c r="S72" s="19" t="s">
        <v>50</v>
      </c>
    </row>
    <row r="73" spans="1:19" x14ac:dyDescent="0.4">
      <c r="A73" s="225"/>
      <c r="B73" s="238"/>
      <c r="C73" s="244"/>
      <c r="D73" s="244"/>
      <c r="E73" s="31" t="s">
        <v>102</v>
      </c>
      <c r="F73" s="101">
        <v>1448.95</v>
      </c>
      <c r="G73" s="69">
        <f t="shared" si="11"/>
        <v>151.1415570388952</v>
      </c>
      <c r="H73" s="69">
        <f t="shared" si="12"/>
        <v>218996.55907150722</v>
      </c>
      <c r="I73" s="69">
        <f t="shared" si="13"/>
        <v>6569.8967721452163</v>
      </c>
      <c r="J73" s="67">
        <f>H73*((0.06*(1+0.06)^20)/((1+0.06)^20-1))</f>
        <v>19093.117982104224</v>
      </c>
      <c r="K73" s="67">
        <f t="shared" si="14"/>
        <v>572.79353946312676</v>
      </c>
      <c r="L73" s="80">
        <f t="shared" si="15"/>
        <v>19665.911521567352</v>
      </c>
      <c r="M73" s="102">
        <v>1448.95</v>
      </c>
      <c r="N73" s="40">
        <f t="shared" si="16"/>
        <v>134.20676411240217</v>
      </c>
      <c r="O73" s="40">
        <f t="shared" si="17"/>
        <v>194458.89086066512</v>
      </c>
      <c r="P73" s="40">
        <f t="shared" si="18"/>
        <v>5833.7667258199535</v>
      </c>
      <c r="Q73" s="83">
        <f t="shared" si="19"/>
        <v>16953.812249896986</v>
      </c>
      <c r="R73" s="83">
        <f t="shared" si="20"/>
        <v>508.61436749690961</v>
      </c>
      <c r="S73" s="19">
        <f t="shared" si="21"/>
        <v>17462.426617393896</v>
      </c>
    </row>
    <row r="74" spans="1:19" x14ac:dyDescent="0.4">
      <c r="A74" s="225"/>
      <c r="B74" s="238"/>
      <c r="C74" s="244"/>
      <c r="D74" s="245" t="s">
        <v>92</v>
      </c>
      <c r="E74" s="41" t="s">
        <v>99</v>
      </c>
      <c r="F74" s="103" t="s">
        <v>50</v>
      </c>
      <c r="G74" s="43" t="s">
        <v>50</v>
      </c>
      <c r="H74" s="43" t="s">
        <v>50</v>
      </c>
      <c r="I74" s="43" t="s">
        <v>50</v>
      </c>
      <c r="J74" s="85" t="s">
        <v>50</v>
      </c>
      <c r="K74" s="85" t="s">
        <v>50</v>
      </c>
      <c r="L74" s="82" t="s">
        <v>50</v>
      </c>
      <c r="M74" s="103" t="s">
        <v>50</v>
      </c>
      <c r="N74" s="43" t="s">
        <v>50</v>
      </c>
      <c r="O74" s="43" t="s">
        <v>50</v>
      </c>
      <c r="P74" s="43" t="s">
        <v>50</v>
      </c>
      <c r="Q74" s="85" t="s">
        <v>50</v>
      </c>
      <c r="R74" s="85" t="s">
        <v>50</v>
      </c>
      <c r="S74" s="82" t="s">
        <v>50</v>
      </c>
    </row>
    <row r="75" spans="1:19" x14ac:dyDescent="0.4">
      <c r="A75" s="225"/>
      <c r="B75" s="238"/>
      <c r="C75" s="244"/>
      <c r="D75" s="245"/>
      <c r="E75" s="41" t="s">
        <v>100</v>
      </c>
      <c r="F75" s="101">
        <v>1448.95</v>
      </c>
      <c r="G75" s="69">
        <f t="shared" si="11"/>
        <v>151.1415570388952</v>
      </c>
      <c r="H75" s="69">
        <f t="shared" si="12"/>
        <v>218996.55907150722</v>
      </c>
      <c r="I75" s="69">
        <f t="shared" si="13"/>
        <v>6569.8967721452163</v>
      </c>
      <c r="J75" s="67">
        <f>H75*((0.06*(1+0.06)^20)/((1+0.06)^20-1))</f>
        <v>19093.117982104224</v>
      </c>
      <c r="K75" s="67">
        <f t="shared" si="14"/>
        <v>572.79353946312676</v>
      </c>
      <c r="L75" s="80">
        <f t="shared" si="15"/>
        <v>19665.911521567352</v>
      </c>
      <c r="M75" s="101">
        <v>1448.95</v>
      </c>
      <c r="N75" s="69">
        <f t="shared" si="16"/>
        <v>134.20676411240217</v>
      </c>
      <c r="O75" s="69">
        <f t="shared" si="17"/>
        <v>194458.89086066512</v>
      </c>
      <c r="P75" s="69">
        <f t="shared" si="18"/>
        <v>5833.7667258199535</v>
      </c>
      <c r="Q75" s="67">
        <f t="shared" si="19"/>
        <v>16953.812249896986</v>
      </c>
      <c r="R75" s="67">
        <f t="shared" si="20"/>
        <v>508.61436749690961</v>
      </c>
      <c r="S75" s="80">
        <f t="shared" si="21"/>
        <v>17462.426617393896</v>
      </c>
    </row>
    <row r="76" spans="1:19" x14ac:dyDescent="0.4">
      <c r="A76" s="225"/>
      <c r="B76" s="238"/>
      <c r="C76" s="244"/>
      <c r="D76" s="244" t="s">
        <v>93</v>
      </c>
      <c r="E76" s="31" t="s">
        <v>99</v>
      </c>
      <c r="F76" s="93" t="s">
        <v>50</v>
      </c>
      <c r="G76" s="40" t="s">
        <v>50</v>
      </c>
      <c r="H76" s="40" t="s">
        <v>50</v>
      </c>
      <c r="I76" s="40" t="s">
        <v>50</v>
      </c>
      <c r="J76" s="83" t="s">
        <v>50</v>
      </c>
      <c r="K76" s="83" t="s">
        <v>50</v>
      </c>
      <c r="L76" s="19" t="s">
        <v>50</v>
      </c>
      <c r="M76" s="93" t="s">
        <v>50</v>
      </c>
      <c r="N76" s="40" t="s">
        <v>50</v>
      </c>
      <c r="O76" s="40" t="s">
        <v>50</v>
      </c>
      <c r="P76" s="40" t="s">
        <v>50</v>
      </c>
      <c r="Q76" s="83" t="s">
        <v>50</v>
      </c>
      <c r="R76" s="83" t="s">
        <v>50</v>
      </c>
      <c r="S76" s="19" t="s">
        <v>50</v>
      </c>
    </row>
    <row r="77" spans="1:19" x14ac:dyDescent="0.4">
      <c r="A77" s="225"/>
      <c r="B77" s="238"/>
      <c r="C77" s="244"/>
      <c r="D77" s="244"/>
      <c r="E77" s="31" t="s">
        <v>101</v>
      </c>
      <c r="F77" s="101">
        <v>1448.95</v>
      </c>
      <c r="G77" s="69">
        <f t="shared" si="11"/>
        <v>151.1415570388952</v>
      </c>
      <c r="H77" s="69">
        <f t="shared" si="12"/>
        <v>218996.55907150722</v>
      </c>
      <c r="I77" s="69">
        <f t="shared" si="13"/>
        <v>6569.8967721452163</v>
      </c>
      <c r="J77" s="67">
        <f>H77*((0.06*(1+0.06)^20)/((1+0.06)^20-1))</f>
        <v>19093.117982104224</v>
      </c>
      <c r="K77" s="67">
        <f t="shared" si="14"/>
        <v>572.79353946312676</v>
      </c>
      <c r="L77" s="80">
        <f t="shared" si="15"/>
        <v>19665.911521567352</v>
      </c>
      <c r="M77" s="101">
        <v>1448.95</v>
      </c>
      <c r="N77" s="69">
        <f t="shared" si="16"/>
        <v>134.20676411240217</v>
      </c>
      <c r="O77" s="69">
        <f t="shared" si="17"/>
        <v>194458.89086066512</v>
      </c>
      <c r="P77" s="69">
        <f t="shared" si="18"/>
        <v>5833.7667258199535</v>
      </c>
      <c r="Q77" s="67">
        <f t="shared" si="19"/>
        <v>16953.812249896986</v>
      </c>
      <c r="R77" s="67">
        <f t="shared" si="20"/>
        <v>508.61436749690961</v>
      </c>
      <c r="S77" s="80">
        <f t="shared" si="21"/>
        <v>17462.426617393896</v>
      </c>
    </row>
    <row r="78" spans="1:19" x14ac:dyDescent="0.4">
      <c r="A78" s="225"/>
      <c r="B78" s="238"/>
      <c r="C78" s="244"/>
      <c r="D78" s="245" t="s">
        <v>94</v>
      </c>
      <c r="E78" s="41" t="s">
        <v>99</v>
      </c>
      <c r="F78" s="103" t="s">
        <v>50</v>
      </c>
      <c r="G78" s="43" t="s">
        <v>50</v>
      </c>
      <c r="H78" s="43" t="s">
        <v>50</v>
      </c>
      <c r="I78" s="43" t="s">
        <v>50</v>
      </c>
      <c r="J78" s="85" t="s">
        <v>50</v>
      </c>
      <c r="K78" s="85" t="s">
        <v>50</v>
      </c>
      <c r="L78" s="82" t="s">
        <v>50</v>
      </c>
      <c r="M78" s="103" t="s">
        <v>50</v>
      </c>
      <c r="N78" s="43" t="s">
        <v>50</v>
      </c>
      <c r="O78" s="43" t="s">
        <v>50</v>
      </c>
      <c r="P78" s="43" t="s">
        <v>50</v>
      </c>
      <c r="Q78" s="85" t="s">
        <v>50</v>
      </c>
      <c r="R78" s="85" t="s">
        <v>50</v>
      </c>
      <c r="S78" s="82" t="s">
        <v>50</v>
      </c>
    </row>
    <row r="79" spans="1:19" x14ac:dyDescent="0.4">
      <c r="A79" s="226"/>
      <c r="B79" s="239"/>
      <c r="C79" s="244"/>
      <c r="D79" s="245"/>
      <c r="E79" s="41" t="s">
        <v>103</v>
      </c>
      <c r="F79" s="101">
        <v>1448.95</v>
      </c>
      <c r="G79" s="69">
        <f t="shared" si="11"/>
        <v>151.1415570388952</v>
      </c>
      <c r="H79" s="69">
        <f t="shared" si="12"/>
        <v>218996.55907150722</v>
      </c>
      <c r="I79" s="69">
        <f t="shared" si="13"/>
        <v>6569.8967721452163</v>
      </c>
      <c r="J79" s="67">
        <f>H79*((0.06*(1+0.06)^20)/((1+0.06)^20-1))</f>
        <v>19093.117982104224</v>
      </c>
      <c r="K79" s="67">
        <f t="shared" si="14"/>
        <v>572.79353946312676</v>
      </c>
      <c r="L79" s="80">
        <f t="shared" si="15"/>
        <v>19665.911521567352</v>
      </c>
      <c r="M79" s="101">
        <v>1448.95</v>
      </c>
      <c r="N79" s="69">
        <f t="shared" si="16"/>
        <v>134.20676411240217</v>
      </c>
      <c r="O79" s="69">
        <f t="shared" si="17"/>
        <v>194458.89086066512</v>
      </c>
      <c r="P79" s="69">
        <f t="shared" si="18"/>
        <v>5833.7667258199535</v>
      </c>
      <c r="Q79" s="67">
        <f t="shared" si="19"/>
        <v>16953.812249896986</v>
      </c>
      <c r="R79" s="67">
        <f t="shared" si="20"/>
        <v>508.61436749690961</v>
      </c>
      <c r="S79" s="80">
        <f t="shared" si="21"/>
        <v>17462.426617393896</v>
      </c>
    </row>
    <row r="80" spans="1:19" x14ac:dyDescent="0.4">
      <c r="B80" s="5"/>
      <c r="C80" s="5"/>
      <c r="D80" s="5"/>
      <c r="E80" s="5"/>
      <c r="J80" s="81"/>
      <c r="K80" s="81"/>
    </row>
    <row r="81" spans="6:11" x14ac:dyDescent="0.4">
      <c r="F81" s="4"/>
      <c r="J81" s="81"/>
      <c r="K81" s="81"/>
    </row>
    <row r="82" spans="6:11" x14ac:dyDescent="0.4">
      <c r="J82" s="81"/>
      <c r="K82" s="81"/>
    </row>
    <row r="83" spans="6:11" x14ac:dyDescent="0.4">
      <c r="J83" s="81"/>
      <c r="K83" s="81"/>
    </row>
    <row r="84" spans="6:11" x14ac:dyDescent="0.4">
      <c r="J84" s="81"/>
      <c r="K84" s="81"/>
    </row>
    <row r="85" spans="6:11" x14ac:dyDescent="0.4">
      <c r="J85" s="81"/>
      <c r="K85" s="81"/>
    </row>
  </sheetData>
  <mergeCells count="63">
    <mergeCell ref="M3:S3"/>
    <mergeCell ref="M4:S4"/>
    <mergeCell ref="F2:S2"/>
    <mergeCell ref="A2:A5"/>
    <mergeCell ref="B2:B5"/>
    <mergeCell ref="C2:E5"/>
    <mergeCell ref="F3:L3"/>
    <mergeCell ref="F4:L4"/>
    <mergeCell ref="A6:A10"/>
    <mergeCell ref="B6:B10"/>
    <mergeCell ref="C6:C10"/>
    <mergeCell ref="D6:E6"/>
    <mergeCell ref="D7:E7"/>
    <mergeCell ref="D8:E8"/>
    <mergeCell ref="D9:E9"/>
    <mergeCell ref="D10:E10"/>
    <mergeCell ref="A11:A79"/>
    <mergeCell ref="B11:B16"/>
    <mergeCell ref="C11:E11"/>
    <mergeCell ref="C12:C16"/>
    <mergeCell ref="D12:E12"/>
    <mergeCell ref="D13:E13"/>
    <mergeCell ref="D14:E14"/>
    <mergeCell ref="D15:E15"/>
    <mergeCell ref="D16:E16"/>
    <mergeCell ref="B17:B47"/>
    <mergeCell ref="D44:D45"/>
    <mergeCell ref="C17:E17"/>
    <mergeCell ref="C18:C47"/>
    <mergeCell ref="D18:D19"/>
    <mergeCell ref="D20:D21"/>
    <mergeCell ref="D22:D23"/>
    <mergeCell ref="D24:D25"/>
    <mergeCell ref="D26:D27"/>
    <mergeCell ref="D28:D29"/>
    <mergeCell ref="D30:D31"/>
    <mergeCell ref="D32:D33"/>
    <mergeCell ref="D34:D35"/>
    <mergeCell ref="D36:D37"/>
    <mergeCell ref="D38:D39"/>
    <mergeCell ref="D40:D41"/>
    <mergeCell ref="D42:D43"/>
    <mergeCell ref="D68:D69"/>
    <mergeCell ref="D46:D47"/>
    <mergeCell ref="B48:B79"/>
    <mergeCell ref="C48:C49"/>
    <mergeCell ref="D48:E48"/>
    <mergeCell ref="D49:E49"/>
    <mergeCell ref="C50:C79"/>
    <mergeCell ref="D50:D51"/>
    <mergeCell ref="D52:D53"/>
    <mergeCell ref="D54:D55"/>
    <mergeCell ref="D56:D57"/>
    <mergeCell ref="D58:D59"/>
    <mergeCell ref="D60:D61"/>
    <mergeCell ref="D62:D63"/>
    <mergeCell ref="D64:D65"/>
    <mergeCell ref="D66:D67"/>
    <mergeCell ref="D70:D71"/>
    <mergeCell ref="D72:D73"/>
    <mergeCell ref="D74:D75"/>
    <mergeCell ref="D76:D77"/>
    <mergeCell ref="D78:D7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E4F3F-C3DC-470C-9D17-B6B0592ACE67}">
  <dimension ref="A1:O79"/>
  <sheetViews>
    <sheetView topLeftCell="L34" zoomScale="70" zoomScaleNormal="70" workbookViewId="0">
      <selection activeCell="O79" sqref="O79"/>
    </sheetView>
  </sheetViews>
  <sheetFormatPr defaultRowHeight="14.6" x14ac:dyDescent="0.4"/>
  <cols>
    <col min="1" max="1" width="20.15234375" bestFit="1" customWidth="1"/>
    <col min="2" max="2" width="255.69140625" bestFit="1" customWidth="1"/>
    <col min="3" max="3" width="135.53515625" customWidth="1"/>
    <col min="4" max="4" width="70.3828125" customWidth="1"/>
    <col min="5" max="5" width="65.15234375" customWidth="1"/>
    <col min="6" max="6" width="88" customWidth="1"/>
    <col min="7" max="7" width="99.4609375" customWidth="1"/>
    <col min="8" max="8" width="143.69140625" customWidth="1"/>
    <col min="9" max="9" width="60.921875" customWidth="1"/>
    <col min="10" max="10" width="31.84375" bestFit="1" customWidth="1"/>
    <col min="11" max="11" width="85.15234375" customWidth="1"/>
    <col min="12" max="12" width="123.69140625" customWidth="1"/>
    <col min="13" max="13" width="120.61328125" customWidth="1"/>
    <col min="14" max="14" width="55.07421875" customWidth="1"/>
    <col min="15" max="15" width="52.07421875" customWidth="1"/>
  </cols>
  <sheetData>
    <row r="1" spans="1:15" x14ac:dyDescent="0.4">
      <c r="F1" s="261" t="s">
        <v>172</v>
      </c>
      <c r="G1" s="261"/>
      <c r="H1" s="261"/>
      <c r="I1" s="261"/>
      <c r="J1" s="261"/>
      <c r="K1" s="261"/>
      <c r="L1" s="261"/>
      <c r="M1" s="261"/>
      <c r="N1" s="261"/>
      <c r="O1" s="261"/>
    </row>
    <row r="2" spans="1:15" x14ac:dyDescent="0.4">
      <c r="A2" s="197" t="s">
        <v>66</v>
      </c>
      <c r="B2" s="198" t="s">
        <v>52</v>
      </c>
      <c r="C2" s="201" t="s">
        <v>78</v>
      </c>
      <c r="D2" s="202"/>
      <c r="E2" s="203"/>
      <c r="F2" s="197" t="s">
        <v>51</v>
      </c>
      <c r="G2" s="197"/>
      <c r="H2" s="197"/>
      <c r="I2" s="197"/>
      <c r="J2" s="197"/>
      <c r="K2" s="197"/>
      <c r="L2" s="197"/>
      <c r="M2" s="197"/>
      <c r="N2" s="197"/>
      <c r="O2" s="197"/>
    </row>
    <row r="3" spans="1:15" x14ac:dyDescent="0.4">
      <c r="A3" s="197"/>
      <c r="B3" s="199"/>
      <c r="C3" s="204"/>
      <c r="D3" s="205"/>
      <c r="E3" s="206"/>
      <c r="F3" s="260" t="s">
        <v>48</v>
      </c>
      <c r="G3" s="260"/>
      <c r="H3" s="260"/>
      <c r="I3" s="260"/>
      <c r="J3" s="260"/>
      <c r="K3" s="251" t="s">
        <v>49</v>
      </c>
      <c r="L3" s="251"/>
      <c r="M3" s="251"/>
      <c r="N3" s="251"/>
      <c r="O3" s="251"/>
    </row>
    <row r="4" spans="1:15" x14ac:dyDescent="0.4">
      <c r="A4" s="197"/>
      <c r="B4" s="199"/>
      <c r="C4" s="204"/>
      <c r="D4" s="205"/>
      <c r="E4" s="206"/>
      <c r="F4" s="210" t="s">
        <v>61</v>
      </c>
      <c r="G4" s="211"/>
      <c r="H4" s="211"/>
      <c r="I4" s="211"/>
      <c r="J4" s="211"/>
      <c r="K4" s="251" t="s">
        <v>64</v>
      </c>
      <c r="L4" s="251"/>
      <c r="M4" s="251"/>
      <c r="N4" s="251"/>
      <c r="O4" s="251"/>
    </row>
    <row r="5" spans="1:15" x14ac:dyDescent="0.4">
      <c r="A5" s="197"/>
      <c r="B5" s="200"/>
      <c r="C5" s="207"/>
      <c r="D5" s="208"/>
      <c r="E5" s="209"/>
      <c r="F5" s="60" t="s">
        <v>121</v>
      </c>
      <c r="G5" s="60" t="s">
        <v>128</v>
      </c>
      <c r="H5" s="91" t="s">
        <v>139</v>
      </c>
      <c r="I5" s="60" t="s">
        <v>170</v>
      </c>
      <c r="J5" s="91" t="s">
        <v>143</v>
      </c>
      <c r="K5" s="61" t="s">
        <v>168</v>
      </c>
      <c r="L5" s="60" t="s">
        <v>135</v>
      </c>
      <c r="M5" s="91" t="s">
        <v>167</v>
      </c>
      <c r="N5" s="60" t="s">
        <v>136</v>
      </c>
      <c r="O5" s="91" t="s">
        <v>143</v>
      </c>
    </row>
    <row r="6" spans="1:15" x14ac:dyDescent="0.4">
      <c r="A6" s="215" t="s">
        <v>67</v>
      </c>
      <c r="B6" s="218" t="s">
        <v>68</v>
      </c>
      <c r="C6" s="218" t="s">
        <v>69</v>
      </c>
      <c r="D6" s="221" t="s">
        <v>70</v>
      </c>
      <c r="E6" s="222"/>
      <c r="F6" s="105">
        <v>15805.158911900669</v>
      </c>
      <c r="G6" s="105">
        <v>19665.911521567352</v>
      </c>
      <c r="H6" s="19">
        <f>(F6+G6)</f>
        <v>35471.070433468019</v>
      </c>
      <c r="I6" s="105">
        <v>185692.96939564802</v>
      </c>
      <c r="J6" s="124">
        <f>H6/I6</f>
        <v>0.19101999687393301</v>
      </c>
      <c r="K6" s="105">
        <v>3677.1187132247542</v>
      </c>
      <c r="L6" s="105">
        <v>17462.426617393896</v>
      </c>
      <c r="M6" s="19">
        <f>(K6+L6)</f>
        <v>21139.54533061865</v>
      </c>
      <c r="N6" s="115">
        <v>136174.8442234752</v>
      </c>
      <c r="O6" s="124">
        <f>M6/N6</f>
        <v>0.15523825601685101</v>
      </c>
    </row>
    <row r="7" spans="1:15" x14ac:dyDescent="0.4">
      <c r="A7" s="216"/>
      <c r="B7" s="219"/>
      <c r="C7" s="219"/>
      <c r="D7" s="221" t="s">
        <v>71</v>
      </c>
      <c r="E7" s="222"/>
      <c r="F7" s="105">
        <v>23384.92647754783</v>
      </c>
      <c r="G7" s="105">
        <v>19665.911521567352</v>
      </c>
      <c r="H7" s="19">
        <f t="shared" ref="H7:H69" si="0">(F7+G7)</f>
        <v>43050.837999115181</v>
      </c>
      <c r="I7" s="105">
        <v>309488.28232607996</v>
      </c>
      <c r="J7" s="124">
        <f t="shared" ref="J7:J69" si="1">H7/I7</f>
        <v>0.13910328906655142</v>
      </c>
      <c r="K7" s="105">
        <v>6128.5311887079224</v>
      </c>
      <c r="L7" s="105">
        <v>17462.426617393896</v>
      </c>
      <c r="M7" s="19">
        <f t="shared" ref="M7:M69" si="2">(K7+L7)</f>
        <v>23590.957806101818</v>
      </c>
      <c r="N7" s="115">
        <v>226958.07370579199</v>
      </c>
      <c r="O7" s="124">
        <f t="shared" ref="O7:O69" si="3">M7/N7</f>
        <v>0.10394412245797879</v>
      </c>
    </row>
    <row r="8" spans="1:15" x14ac:dyDescent="0.4">
      <c r="A8" s="216"/>
      <c r="B8" s="219"/>
      <c r="C8" s="219"/>
      <c r="D8" s="221" t="s">
        <v>72</v>
      </c>
      <c r="E8" s="222"/>
      <c r="F8" s="105">
        <v>33855.322512928833</v>
      </c>
      <c r="G8" s="105">
        <v>19665.911521567352</v>
      </c>
      <c r="H8" s="19">
        <f t="shared" si="0"/>
        <v>53521.234034496185</v>
      </c>
      <c r="I8" s="105">
        <v>495181.25172172801</v>
      </c>
      <c r="J8" s="124">
        <f t="shared" si="1"/>
        <v>0.10808412848508443</v>
      </c>
      <c r="K8" s="105">
        <v>9805.6499019326784</v>
      </c>
      <c r="L8" s="105">
        <v>17462.426617393896</v>
      </c>
      <c r="M8" s="19">
        <f t="shared" si="2"/>
        <v>27268.076519326576</v>
      </c>
      <c r="N8" s="115">
        <v>363132.91792926722</v>
      </c>
      <c r="O8" s="124">
        <f t="shared" si="3"/>
        <v>7.5091172331113162E-2</v>
      </c>
    </row>
    <row r="9" spans="1:15" x14ac:dyDescent="0.4">
      <c r="A9" s="216"/>
      <c r="B9" s="219"/>
      <c r="C9" s="219"/>
      <c r="D9" s="223" t="s">
        <v>73</v>
      </c>
      <c r="E9" s="223"/>
      <c r="F9" s="105">
        <v>40467.175582047392</v>
      </c>
      <c r="G9" s="105">
        <v>19665.911521567352</v>
      </c>
      <c r="H9" s="19">
        <f t="shared" si="0"/>
        <v>60133.087103614744</v>
      </c>
      <c r="I9" s="105">
        <v>618976.56465215993</v>
      </c>
      <c r="J9" s="124">
        <f t="shared" si="1"/>
        <v>9.7149214586835175E-2</v>
      </c>
      <c r="K9" s="105">
        <v>12257.062377415845</v>
      </c>
      <c r="L9" s="105">
        <v>17462.426617393896</v>
      </c>
      <c r="M9" s="19">
        <f t="shared" si="2"/>
        <v>29719.488994809741</v>
      </c>
      <c r="N9" s="115">
        <v>453916.14741158398</v>
      </c>
      <c r="O9" s="124">
        <f t="shared" si="3"/>
        <v>6.5473522288824609E-2</v>
      </c>
    </row>
    <row r="10" spans="1:15" x14ac:dyDescent="0.4">
      <c r="A10" s="217"/>
      <c r="B10" s="220"/>
      <c r="C10" s="220"/>
      <c r="D10" s="223" t="s">
        <v>74</v>
      </c>
      <c r="E10" s="223"/>
      <c r="F10" s="105">
        <v>46871.080773971706</v>
      </c>
      <c r="G10" s="105">
        <v>19665.911521567352</v>
      </c>
      <c r="H10" s="19">
        <f t="shared" si="0"/>
        <v>66536.992295539065</v>
      </c>
      <c r="I10" s="105">
        <v>742771.87758259207</v>
      </c>
      <c r="J10" s="124">
        <f t="shared" si="1"/>
        <v>8.957931001923336E-2</v>
      </c>
      <c r="K10" s="105">
        <v>14708.474852899017</v>
      </c>
      <c r="L10" s="105">
        <v>17462.426617393896</v>
      </c>
      <c r="M10" s="19">
        <f t="shared" si="2"/>
        <v>32170.901470292913</v>
      </c>
      <c r="N10" s="115">
        <v>544699.3768939008</v>
      </c>
      <c r="O10" s="124">
        <f t="shared" si="3"/>
        <v>5.9061755593965586E-2</v>
      </c>
    </row>
    <row r="11" spans="1:15" x14ac:dyDescent="0.4">
      <c r="A11" s="224" t="s">
        <v>65</v>
      </c>
      <c r="B11" s="227" t="s">
        <v>76</v>
      </c>
      <c r="C11" s="228" t="s">
        <v>55</v>
      </c>
      <c r="D11" s="228"/>
      <c r="E11" s="228"/>
      <c r="F11" s="107" t="s">
        <v>50</v>
      </c>
      <c r="G11" s="107" t="s">
        <v>50</v>
      </c>
      <c r="H11" s="52" t="s">
        <v>50</v>
      </c>
      <c r="I11" s="107" t="s">
        <v>50</v>
      </c>
      <c r="J11" s="126" t="s">
        <v>50</v>
      </c>
      <c r="K11" s="108" t="s">
        <v>50</v>
      </c>
      <c r="L11" s="107" t="s">
        <v>50</v>
      </c>
      <c r="M11" s="88" t="s">
        <v>50</v>
      </c>
      <c r="N11" s="119" t="s">
        <v>50</v>
      </c>
      <c r="O11" s="130" t="s">
        <v>50</v>
      </c>
    </row>
    <row r="12" spans="1:15" x14ac:dyDescent="0.4">
      <c r="A12" s="225"/>
      <c r="B12" s="227"/>
      <c r="C12" s="229" t="s">
        <v>69</v>
      </c>
      <c r="D12" s="232" t="s">
        <v>70</v>
      </c>
      <c r="E12" s="233"/>
      <c r="F12" s="108">
        <v>55303.293740342386</v>
      </c>
      <c r="G12" s="108">
        <v>19665.911521567352</v>
      </c>
      <c r="H12" s="52">
        <f t="shared" si="0"/>
        <v>74969.205261909738</v>
      </c>
      <c r="I12" s="108">
        <v>511610.73445684795</v>
      </c>
      <c r="J12" s="126">
        <f t="shared" si="1"/>
        <v>0.14653563776667211</v>
      </c>
      <c r="K12" s="108">
        <v>18035.49004479354</v>
      </c>
      <c r="L12" s="108">
        <v>17462.426617393896</v>
      </c>
      <c r="M12" s="88">
        <f t="shared" si="2"/>
        <v>35497.916662187432</v>
      </c>
      <c r="N12" s="120">
        <v>375181.2052683552</v>
      </c>
      <c r="O12" s="130">
        <f t="shared" si="3"/>
        <v>9.4615391612692584E-2</v>
      </c>
    </row>
    <row r="13" spans="1:15" x14ac:dyDescent="0.4">
      <c r="A13" s="225"/>
      <c r="B13" s="227"/>
      <c r="C13" s="230"/>
      <c r="D13" s="232" t="s">
        <v>71</v>
      </c>
      <c r="E13" s="233"/>
      <c r="F13" s="108">
        <v>61361.316943188504</v>
      </c>
      <c r="G13" s="108">
        <v>19665.911521567352</v>
      </c>
      <c r="H13" s="52">
        <f t="shared" si="0"/>
        <v>81027.228464755855</v>
      </c>
      <c r="I13" s="108">
        <v>635406.04738728004</v>
      </c>
      <c r="J13" s="126">
        <f t="shared" si="1"/>
        <v>0.12752039235057791</v>
      </c>
      <c r="K13" s="108">
        <v>20486.902520276715</v>
      </c>
      <c r="L13" s="108">
        <v>17462.426617393896</v>
      </c>
      <c r="M13" s="88">
        <f t="shared" si="2"/>
        <v>37949.329137670611</v>
      </c>
      <c r="N13" s="120">
        <v>465964.43475067202</v>
      </c>
      <c r="O13" s="130">
        <f t="shared" si="3"/>
        <v>8.1442544339197301E-2</v>
      </c>
    </row>
    <row r="14" spans="1:15" x14ac:dyDescent="0.4">
      <c r="A14" s="225"/>
      <c r="B14" s="227"/>
      <c r="C14" s="230"/>
      <c r="D14" s="232" t="s">
        <v>72</v>
      </c>
      <c r="E14" s="233"/>
      <c r="F14" s="108">
        <v>70246.570437092058</v>
      </c>
      <c r="G14" s="108">
        <v>19665.911521567352</v>
      </c>
      <c r="H14" s="52">
        <f t="shared" si="0"/>
        <v>89912.481958659409</v>
      </c>
      <c r="I14" s="108">
        <v>821099.01678292791</v>
      </c>
      <c r="J14" s="130">
        <f t="shared" si="1"/>
        <v>0.1095026058013529</v>
      </c>
      <c r="K14" s="108">
        <v>24164.021233501462</v>
      </c>
      <c r="L14" s="108">
        <v>17462.426617393896</v>
      </c>
      <c r="M14" s="88">
        <f t="shared" si="2"/>
        <v>41626.447850895362</v>
      </c>
      <c r="N14" s="120">
        <v>602139.27897414716</v>
      </c>
      <c r="O14" s="130">
        <f t="shared" si="3"/>
        <v>6.9130929179397699E-2</v>
      </c>
    </row>
    <row r="15" spans="1:15" x14ac:dyDescent="0.4">
      <c r="A15" s="225"/>
      <c r="B15" s="227"/>
      <c r="C15" s="230"/>
      <c r="D15" s="228" t="s">
        <v>73</v>
      </c>
      <c r="E15" s="228"/>
      <c r="F15" s="106">
        <v>76055.054911734303</v>
      </c>
      <c r="G15" s="106">
        <v>19665.911521567352</v>
      </c>
      <c r="H15" s="80">
        <f t="shared" si="0"/>
        <v>95720.966433301655</v>
      </c>
      <c r="I15" s="106">
        <v>944894.32971336006</v>
      </c>
      <c r="J15" s="125">
        <f t="shared" si="1"/>
        <v>0.10130335575443579</v>
      </c>
      <c r="K15" s="108">
        <v>26615.43370898463</v>
      </c>
      <c r="L15" s="108">
        <v>17462.426617393896</v>
      </c>
      <c r="M15" s="88">
        <f t="shared" si="2"/>
        <v>44077.860326378526</v>
      </c>
      <c r="N15" s="120">
        <v>692922.50845646404</v>
      </c>
      <c r="O15" s="130">
        <f t="shared" si="3"/>
        <v>6.361152912259295E-2</v>
      </c>
    </row>
    <row r="16" spans="1:15" x14ac:dyDescent="0.4">
      <c r="A16" s="225"/>
      <c r="B16" s="227"/>
      <c r="C16" s="231"/>
      <c r="D16" s="228" t="s">
        <v>74</v>
      </c>
      <c r="E16" s="228"/>
      <c r="F16" s="106">
        <v>81783.492138623275</v>
      </c>
      <c r="G16" s="106">
        <v>19665.911521567352</v>
      </c>
      <c r="H16" s="80">
        <f t="shared" si="0"/>
        <v>101449.40366019063</v>
      </c>
      <c r="I16" s="106">
        <v>1068689.6426437919</v>
      </c>
      <c r="J16" s="125">
        <f t="shared" si="1"/>
        <v>9.492877970560161E-2</v>
      </c>
      <c r="K16" s="108">
        <v>29066.846184467806</v>
      </c>
      <c r="L16" s="108">
        <v>17462.426617393896</v>
      </c>
      <c r="M16" s="52">
        <f t="shared" si="2"/>
        <v>46529.272801861705</v>
      </c>
      <c r="N16" s="120">
        <v>783705.73793878092</v>
      </c>
      <c r="O16" s="130">
        <f t="shared" si="3"/>
        <v>5.937084615998605E-2</v>
      </c>
    </row>
    <row r="17" spans="1:15" x14ac:dyDescent="0.4">
      <c r="A17" s="225"/>
      <c r="B17" s="234" t="s">
        <v>77</v>
      </c>
      <c r="C17" s="252" t="s">
        <v>55</v>
      </c>
      <c r="D17" s="246"/>
      <c r="E17" s="246"/>
      <c r="F17" s="26" t="s">
        <v>50</v>
      </c>
      <c r="G17" s="26" t="s">
        <v>50</v>
      </c>
      <c r="H17" s="15" t="s">
        <v>50</v>
      </c>
      <c r="I17" s="26" t="s">
        <v>50</v>
      </c>
      <c r="J17" s="127" t="s">
        <v>50</v>
      </c>
      <c r="K17" s="36" t="s">
        <v>50</v>
      </c>
      <c r="L17" s="26" t="s">
        <v>50</v>
      </c>
      <c r="M17" s="15" t="s">
        <v>50</v>
      </c>
      <c r="N17" s="26" t="s">
        <v>50</v>
      </c>
      <c r="O17" s="127" t="s">
        <v>50</v>
      </c>
    </row>
    <row r="18" spans="1:15" x14ac:dyDescent="0.4">
      <c r="A18" s="225"/>
      <c r="B18" s="235"/>
      <c r="C18" s="246" t="s">
        <v>79</v>
      </c>
      <c r="D18" s="247" t="s">
        <v>80</v>
      </c>
      <c r="E18" s="32" t="s">
        <v>95</v>
      </c>
      <c r="F18" s="109" t="s">
        <v>50</v>
      </c>
      <c r="G18" s="109" t="s">
        <v>50</v>
      </c>
      <c r="H18" s="29" t="s">
        <v>50</v>
      </c>
      <c r="I18" s="109" t="s">
        <v>50</v>
      </c>
      <c r="J18" s="128" t="s">
        <v>50</v>
      </c>
      <c r="K18" s="109" t="s">
        <v>50</v>
      </c>
      <c r="L18" s="109" t="s">
        <v>50</v>
      </c>
      <c r="M18" s="29" t="s">
        <v>50</v>
      </c>
      <c r="N18" s="35" t="s">
        <v>50</v>
      </c>
      <c r="O18" s="128" t="s">
        <v>50</v>
      </c>
    </row>
    <row r="19" spans="1:15" x14ac:dyDescent="0.4">
      <c r="A19" s="225"/>
      <c r="B19" s="235"/>
      <c r="C19" s="246"/>
      <c r="D19" s="247"/>
      <c r="E19" s="32" t="s">
        <v>100</v>
      </c>
      <c r="F19" s="110">
        <v>55753.615863141691</v>
      </c>
      <c r="G19" s="110">
        <v>19665.911521567352</v>
      </c>
      <c r="H19" s="29">
        <f t="shared" si="0"/>
        <v>75419.527384709043</v>
      </c>
      <c r="I19" s="110">
        <v>518565.7750038479</v>
      </c>
      <c r="J19" s="128">
        <f t="shared" si="1"/>
        <v>0.14543869075075272</v>
      </c>
      <c r="K19" s="109">
        <v>18216.044414831231</v>
      </c>
      <c r="L19" s="110">
        <v>17462.426617393896</v>
      </c>
      <c r="M19" s="29">
        <f t="shared" si="2"/>
        <v>35678.471032225127</v>
      </c>
      <c r="N19" s="35">
        <v>380281.56833615521</v>
      </c>
      <c r="O19" s="128">
        <f t="shared" si="3"/>
        <v>9.3821194617264861E-2</v>
      </c>
    </row>
    <row r="20" spans="1:15" x14ac:dyDescent="0.4">
      <c r="A20" s="225"/>
      <c r="B20" s="235"/>
      <c r="C20" s="246"/>
      <c r="D20" s="246" t="s">
        <v>81</v>
      </c>
      <c r="E20" s="23" t="s">
        <v>95</v>
      </c>
      <c r="F20" s="111" t="s">
        <v>50</v>
      </c>
      <c r="G20" s="111" t="s">
        <v>50</v>
      </c>
      <c r="H20" s="15" t="s">
        <v>50</v>
      </c>
      <c r="I20" s="111" t="s">
        <v>50</v>
      </c>
      <c r="J20" s="127" t="s">
        <v>50</v>
      </c>
      <c r="K20" s="111" t="s">
        <v>50</v>
      </c>
      <c r="L20" s="111" t="s">
        <v>50</v>
      </c>
      <c r="M20" s="15" t="s">
        <v>50</v>
      </c>
      <c r="N20" s="36" t="s">
        <v>50</v>
      </c>
      <c r="O20" s="127" t="s">
        <v>50</v>
      </c>
    </row>
    <row r="21" spans="1:15" x14ac:dyDescent="0.4">
      <c r="A21" s="225"/>
      <c r="B21" s="235"/>
      <c r="C21" s="246"/>
      <c r="D21" s="246"/>
      <c r="E21" s="23" t="s">
        <v>101</v>
      </c>
      <c r="F21" s="112">
        <v>55753.615863141691</v>
      </c>
      <c r="G21" s="112">
        <v>19665.911521567352</v>
      </c>
      <c r="H21" s="15">
        <f t="shared" si="0"/>
        <v>75419.527384709043</v>
      </c>
      <c r="I21" s="112">
        <v>520321.65588514798</v>
      </c>
      <c r="J21" s="127">
        <f t="shared" si="1"/>
        <v>0.1449478923886201</v>
      </c>
      <c r="K21" s="111">
        <v>18216.044414831231</v>
      </c>
      <c r="L21" s="112">
        <v>17462.426617393896</v>
      </c>
      <c r="M21" s="15">
        <f t="shared" si="2"/>
        <v>35678.471032225127</v>
      </c>
      <c r="N21" s="36">
        <v>381569.21431577526</v>
      </c>
      <c r="O21" s="127">
        <f t="shared" si="3"/>
        <v>9.3504584996992685E-2</v>
      </c>
    </row>
    <row r="22" spans="1:15" x14ac:dyDescent="0.4">
      <c r="A22" s="225"/>
      <c r="B22" s="235"/>
      <c r="C22" s="246"/>
      <c r="D22" s="247" t="s">
        <v>82</v>
      </c>
      <c r="E22" s="32" t="s">
        <v>95</v>
      </c>
      <c r="F22" s="109" t="s">
        <v>50</v>
      </c>
      <c r="G22" s="109" t="s">
        <v>50</v>
      </c>
      <c r="H22" s="29" t="s">
        <v>50</v>
      </c>
      <c r="I22" s="109" t="s">
        <v>50</v>
      </c>
      <c r="J22" s="128" t="s">
        <v>50</v>
      </c>
      <c r="K22" s="109" t="s">
        <v>50</v>
      </c>
      <c r="L22" s="109" t="s">
        <v>50</v>
      </c>
      <c r="M22" s="29" t="s">
        <v>50</v>
      </c>
      <c r="N22" s="35" t="s">
        <v>50</v>
      </c>
      <c r="O22" s="128" t="s">
        <v>50</v>
      </c>
    </row>
    <row r="23" spans="1:15" x14ac:dyDescent="0.4">
      <c r="A23" s="225"/>
      <c r="B23" s="235"/>
      <c r="C23" s="246"/>
      <c r="D23" s="247"/>
      <c r="E23" s="32" t="s">
        <v>102</v>
      </c>
      <c r="F23" s="110">
        <v>55753.615863141691</v>
      </c>
      <c r="G23" s="110">
        <v>19665.911521567352</v>
      </c>
      <c r="H23" s="29">
        <f t="shared" si="0"/>
        <v>75419.527384709043</v>
      </c>
      <c r="I23" s="110">
        <v>520646.444667648</v>
      </c>
      <c r="J23" s="128">
        <f t="shared" si="1"/>
        <v>0.14485747124010942</v>
      </c>
      <c r="K23" s="109">
        <v>18216.044414831231</v>
      </c>
      <c r="L23" s="110">
        <v>17462.426617393896</v>
      </c>
      <c r="M23" s="29">
        <f t="shared" si="2"/>
        <v>35678.471032225127</v>
      </c>
      <c r="N23" s="35">
        <v>381807.39275627519</v>
      </c>
      <c r="O23" s="128">
        <f t="shared" si="3"/>
        <v>9.3446255125291131E-2</v>
      </c>
    </row>
    <row r="24" spans="1:15" x14ac:dyDescent="0.4">
      <c r="A24" s="225"/>
      <c r="B24" s="235"/>
      <c r="C24" s="246"/>
      <c r="D24" s="246" t="s">
        <v>83</v>
      </c>
      <c r="E24" s="23" t="s">
        <v>96</v>
      </c>
      <c r="F24" s="111" t="s">
        <v>50</v>
      </c>
      <c r="G24" s="111" t="s">
        <v>50</v>
      </c>
      <c r="H24" s="15" t="s">
        <v>50</v>
      </c>
      <c r="I24" s="111" t="s">
        <v>50</v>
      </c>
      <c r="J24" s="127" t="s">
        <v>50</v>
      </c>
      <c r="K24" s="111" t="s">
        <v>50</v>
      </c>
      <c r="L24" s="111" t="s">
        <v>50</v>
      </c>
      <c r="M24" s="15" t="s">
        <v>50</v>
      </c>
      <c r="N24" s="36" t="s">
        <v>50</v>
      </c>
      <c r="O24" s="127" t="s">
        <v>50</v>
      </c>
    </row>
    <row r="25" spans="1:15" x14ac:dyDescent="0.4">
      <c r="A25" s="225"/>
      <c r="B25" s="235"/>
      <c r="C25" s="246"/>
      <c r="D25" s="246"/>
      <c r="E25" s="23" t="s">
        <v>100</v>
      </c>
      <c r="F25" s="112">
        <v>61802.963592082211</v>
      </c>
      <c r="G25" s="112">
        <v>19665.911521567352</v>
      </c>
      <c r="H25" s="15">
        <f t="shared" si="0"/>
        <v>81468.875113649556</v>
      </c>
      <c r="I25" s="112">
        <v>642361.08793427993</v>
      </c>
      <c r="J25" s="127">
        <f t="shared" si="1"/>
        <v>0.12682722637455998</v>
      </c>
      <c r="K25" s="111">
        <v>20667.456890314406</v>
      </c>
      <c r="L25" s="112">
        <v>17462.426617393896</v>
      </c>
      <c r="M25" s="15">
        <f t="shared" si="2"/>
        <v>38129.883507708306</v>
      </c>
      <c r="N25" s="36">
        <v>471064.79781847197</v>
      </c>
      <c r="O25" s="127">
        <f t="shared" si="3"/>
        <v>8.0944030809115816E-2</v>
      </c>
    </row>
    <row r="26" spans="1:15" x14ac:dyDescent="0.4">
      <c r="A26" s="225"/>
      <c r="B26" s="235"/>
      <c r="C26" s="246"/>
      <c r="D26" s="247" t="s">
        <v>84</v>
      </c>
      <c r="E26" s="32" t="s">
        <v>96</v>
      </c>
      <c r="F26" s="109" t="s">
        <v>50</v>
      </c>
      <c r="G26" s="109" t="s">
        <v>50</v>
      </c>
      <c r="H26" s="29" t="s">
        <v>50</v>
      </c>
      <c r="I26" s="109" t="s">
        <v>50</v>
      </c>
      <c r="J26" s="128" t="s">
        <v>50</v>
      </c>
      <c r="K26" s="109" t="s">
        <v>50</v>
      </c>
      <c r="L26" s="109" t="s">
        <v>50</v>
      </c>
      <c r="M26" s="29" t="s">
        <v>50</v>
      </c>
      <c r="N26" s="35" t="s">
        <v>50</v>
      </c>
      <c r="O26" s="128" t="s">
        <v>50</v>
      </c>
    </row>
    <row r="27" spans="1:15" x14ac:dyDescent="0.4">
      <c r="A27" s="225"/>
      <c r="B27" s="235"/>
      <c r="C27" s="246"/>
      <c r="D27" s="247"/>
      <c r="E27" s="32" t="s">
        <v>101</v>
      </c>
      <c r="F27" s="110">
        <v>61802.963592082211</v>
      </c>
      <c r="G27" s="110">
        <v>19665.911521567352</v>
      </c>
      <c r="H27" s="29">
        <f t="shared" si="0"/>
        <v>81468.875113649556</v>
      </c>
      <c r="I27" s="110">
        <v>644116.96881558001</v>
      </c>
      <c r="J27" s="128">
        <f t="shared" si="1"/>
        <v>0.12648149180645987</v>
      </c>
      <c r="K27" s="109">
        <v>20667.456890314406</v>
      </c>
      <c r="L27" s="110">
        <v>17462.426617393896</v>
      </c>
      <c r="M27" s="29">
        <f t="shared" si="2"/>
        <v>38129.883507708306</v>
      </c>
      <c r="N27" s="35">
        <v>472352.44379809202</v>
      </c>
      <c r="O27" s="128">
        <f t="shared" si="3"/>
        <v>8.0723375116075399E-2</v>
      </c>
    </row>
    <row r="28" spans="1:15" x14ac:dyDescent="0.4">
      <c r="A28" s="225"/>
      <c r="B28" s="235"/>
      <c r="C28" s="246"/>
      <c r="D28" s="246" t="s">
        <v>85</v>
      </c>
      <c r="E28" s="23" t="s">
        <v>96</v>
      </c>
      <c r="F28" s="111" t="s">
        <v>50</v>
      </c>
      <c r="G28" s="111" t="s">
        <v>50</v>
      </c>
      <c r="H28" s="15" t="s">
        <v>50</v>
      </c>
      <c r="I28" s="111" t="s">
        <v>50</v>
      </c>
      <c r="J28" s="127" t="s">
        <v>50</v>
      </c>
      <c r="K28" s="111" t="s">
        <v>50</v>
      </c>
      <c r="L28" s="111" t="s">
        <v>50</v>
      </c>
      <c r="M28" s="15" t="s">
        <v>50</v>
      </c>
      <c r="N28" s="36" t="s">
        <v>50</v>
      </c>
      <c r="O28" s="127" t="s">
        <v>50</v>
      </c>
    </row>
    <row r="29" spans="1:15" x14ac:dyDescent="0.4">
      <c r="A29" s="225"/>
      <c r="B29" s="235"/>
      <c r="C29" s="246"/>
      <c r="D29" s="246"/>
      <c r="E29" s="23" t="s">
        <v>102</v>
      </c>
      <c r="F29" s="112">
        <v>61802.963592082211</v>
      </c>
      <c r="G29" s="112">
        <v>19665.911521567352</v>
      </c>
      <c r="H29" s="15">
        <f t="shared" si="0"/>
        <v>81468.875113649556</v>
      </c>
      <c r="I29" s="112">
        <v>644441.75759807997</v>
      </c>
      <c r="J29" s="127">
        <f t="shared" si="1"/>
        <v>0.12641774707041778</v>
      </c>
      <c r="K29" s="111">
        <v>20667.456890314406</v>
      </c>
      <c r="L29" s="112">
        <v>17462.426617393896</v>
      </c>
      <c r="M29" s="15">
        <f t="shared" si="2"/>
        <v>38129.883507708306</v>
      </c>
      <c r="N29" s="36">
        <v>472590.62223859201</v>
      </c>
      <c r="O29" s="127">
        <f t="shared" si="3"/>
        <v>8.0682691770506743E-2</v>
      </c>
    </row>
    <row r="30" spans="1:15" x14ac:dyDescent="0.4">
      <c r="A30" s="225"/>
      <c r="B30" s="235"/>
      <c r="C30" s="246"/>
      <c r="D30" s="247" t="s">
        <v>86</v>
      </c>
      <c r="E30" s="32" t="s">
        <v>97</v>
      </c>
      <c r="F30" s="109" t="s">
        <v>50</v>
      </c>
      <c r="G30" s="109" t="s">
        <v>50</v>
      </c>
      <c r="H30" s="29" t="s">
        <v>50</v>
      </c>
      <c r="I30" s="109" t="s">
        <v>50</v>
      </c>
      <c r="J30" s="128" t="s">
        <v>50</v>
      </c>
      <c r="K30" s="109" t="s">
        <v>50</v>
      </c>
      <c r="L30" s="109" t="s">
        <v>50</v>
      </c>
      <c r="M30" s="29" t="s">
        <v>50</v>
      </c>
      <c r="N30" s="35" t="s">
        <v>50</v>
      </c>
      <c r="O30" s="128" t="s">
        <v>50</v>
      </c>
    </row>
    <row r="31" spans="1:15" x14ac:dyDescent="0.4">
      <c r="A31" s="225"/>
      <c r="B31" s="235"/>
      <c r="C31" s="246"/>
      <c r="D31" s="247"/>
      <c r="E31" s="32" t="s">
        <v>100</v>
      </c>
      <c r="F31" s="110">
        <v>70677.31955875094</v>
      </c>
      <c r="G31" s="110">
        <v>19665.911521567352</v>
      </c>
      <c r="H31" s="29">
        <f t="shared" si="0"/>
        <v>90343.231080318292</v>
      </c>
      <c r="I31" s="110">
        <v>828054.0573299278</v>
      </c>
      <c r="J31" s="128">
        <f t="shared" si="1"/>
        <v>0.10910305949303761</v>
      </c>
      <c r="K31" s="109">
        <v>24344.575603539157</v>
      </c>
      <c r="L31" s="110">
        <v>17462.426617393896</v>
      </c>
      <c r="M31" s="29">
        <f t="shared" si="2"/>
        <v>41807.002220933049</v>
      </c>
      <c r="N31" s="35">
        <v>607239.64204194711</v>
      </c>
      <c r="O31" s="128">
        <f t="shared" si="3"/>
        <v>6.8847616865641142E-2</v>
      </c>
    </row>
    <row r="32" spans="1:15" x14ac:dyDescent="0.4">
      <c r="A32" s="225"/>
      <c r="B32" s="235"/>
      <c r="C32" s="246"/>
      <c r="D32" s="246" t="s">
        <v>87</v>
      </c>
      <c r="E32" s="23" t="s">
        <v>97</v>
      </c>
      <c r="F32" s="111" t="s">
        <v>50</v>
      </c>
      <c r="G32" s="111" t="s">
        <v>50</v>
      </c>
      <c r="H32" s="15" t="s">
        <v>50</v>
      </c>
      <c r="I32" s="111" t="s">
        <v>50</v>
      </c>
      <c r="J32" s="127" t="s">
        <v>50</v>
      </c>
      <c r="K32" s="111" t="s">
        <v>50</v>
      </c>
      <c r="L32" s="111" t="s">
        <v>50</v>
      </c>
      <c r="M32" s="15" t="s">
        <v>50</v>
      </c>
      <c r="N32" s="36" t="s">
        <v>50</v>
      </c>
      <c r="O32" s="127" t="s">
        <v>50</v>
      </c>
    </row>
    <row r="33" spans="1:15" x14ac:dyDescent="0.4">
      <c r="A33" s="225"/>
      <c r="B33" s="235"/>
      <c r="C33" s="246"/>
      <c r="D33" s="246"/>
      <c r="E33" s="23" t="s">
        <v>101</v>
      </c>
      <c r="F33" s="112">
        <v>70677.31955875094</v>
      </c>
      <c r="G33" s="112">
        <v>19665.911521567352</v>
      </c>
      <c r="H33" s="15">
        <f t="shared" si="0"/>
        <v>90343.231080318292</v>
      </c>
      <c r="I33" s="112">
        <v>829809.93821122777</v>
      </c>
      <c r="J33" s="127">
        <f t="shared" si="1"/>
        <v>0.10887219701786877</v>
      </c>
      <c r="K33" s="111">
        <v>24344.575603539157</v>
      </c>
      <c r="L33" s="112">
        <v>17462.426617393896</v>
      </c>
      <c r="M33" s="15">
        <f t="shared" si="2"/>
        <v>41807.002220933049</v>
      </c>
      <c r="N33" s="36">
        <v>608527.28802156716</v>
      </c>
      <c r="O33" s="127">
        <f t="shared" si="3"/>
        <v>6.8701935055131572E-2</v>
      </c>
    </row>
    <row r="34" spans="1:15" x14ac:dyDescent="0.4">
      <c r="A34" s="225"/>
      <c r="B34" s="235"/>
      <c r="C34" s="246"/>
      <c r="D34" s="247" t="s">
        <v>88</v>
      </c>
      <c r="E34" s="32" t="s">
        <v>97</v>
      </c>
      <c r="F34" s="109" t="s">
        <v>50</v>
      </c>
      <c r="G34" s="109" t="s">
        <v>50</v>
      </c>
      <c r="H34" s="29" t="s">
        <v>50</v>
      </c>
      <c r="I34" s="109" t="s">
        <v>50</v>
      </c>
      <c r="J34" s="128" t="s">
        <v>50</v>
      </c>
      <c r="K34" s="109" t="s">
        <v>50</v>
      </c>
      <c r="L34" s="109" t="s">
        <v>50</v>
      </c>
      <c r="M34" s="29" t="s">
        <v>50</v>
      </c>
      <c r="N34" s="35" t="s">
        <v>50</v>
      </c>
      <c r="O34" s="128" t="s">
        <v>50</v>
      </c>
    </row>
    <row r="35" spans="1:15" x14ac:dyDescent="0.4">
      <c r="A35" s="225"/>
      <c r="B35" s="235"/>
      <c r="C35" s="246"/>
      <c r="D35" s="247"/>
      <c r="E35" s="32" t="s">
        <v>102</v>
      </c>
      <c r="F35" s="110">
        <v>70677.31955875094</v>
      </c>
      <c r="G35" s="110">
        <v>19665.911521567352</v>
      </c>
      <c r="H35" s="29">
        <f t="shared" si="0"/>
        <v>90343.231080318292</v>
      </c>
      <c r="I35" s="110">
        <v>830134.72699372796</v>
      </c>
      <c r="J35" s="128">
        <f t="shared" si="1"/>
        <v>0.10882960095825611</v>
      </c>
      <c r="K35" s="109">
        <v>24344.575603539157</v>
      </c>
      <c r="L35" s="110">
        <v>17462.426617393896</v>
      </c>
      <c r="M35" s="29">
        <f t="shared" si="2"/>
        <v>41807.002220933049</v>
      </c>
      <c r="N35" s="35">
        <v>608765.46646206721</v>
      </c>
      <c r="O35" s="128">
        <f t="shared" si="3"/>
        <v>6.8675055541341359E-2</v>
      </c>
    </row>
    <row r="36" spans="1:15" x14ac:dyDescent="0.4">
      <c r="A36" s="225"/>
      <c r="B36" s="235"/>
      <c r="C36" s="246"/>
      <c r="D36" s="246" t="s">
        <v>89</v>
      </c>
      <c r="E36" s="23" t="s">
        <v>98</v>
      </c>
      <c r="F36" s="111" t="s">
        <v>50</v>
      </c>
      <c r="G36" s="111" t="s">
        <v>50</v>
      </c>
      <c r="H36" s="15" t="s">
        <v>50</v>
      </c>
      <c r="I36" s="111" t="s">
        <v>50</v>
      </c>
      <c r="J36" s="127" t="s">
        <v>50</v>
      </c>
      <c r="K36" s="111" t="s">
        <v>50</v>
      </c>
      <c r="L36" s="111" t="s">
        <v>50</v>
      </c>
      <c r="M36" s="15" t="s">
        <v>50</v>
      </c>
      <c r="N36" s="36" t="s">
        <v>50</v>
      </c>
      <c r="O36" s="127" t="s">
        <v>50</v>
      </c>
    </row>
    <row r="37" spans="1:15" x14ac:dyDescent="0.4">
      <c r="A37" s="225"/>
      <c r="B37" s="235"/>
      <c r="C37" s="246"/>
      <c r="D37" s="246"/>
      <c r="E37" s="23" t="s">
        <v>100</v>
      </c>
      <c r="F37" s="116">
        <v>76479.595081836087</v>
      </c>
      <c r="G37" s="116">
        <v>19665.911521567352</v>
      </c>
      <c r="H37" s="80">
        <f t="shared" si="0"/>
        <v>96145.506603403439</v>
      </c>
      <c r="I37" s="116">
        <v>951849.37026035984</v>
      </c>
      <c r="J37" s="125">
        <f t="shared" si="1"/>
        <v>0.10100916133096217</v>
      </c>
      <c r="K37" s="111">
        <v>26795.988079022321</v>
      </c>
      <c r="L37" s="112">
        <v>17462.426617393896</v>
      </c>
      <c r="M37" s="15">
        <f t="shared" si="2"/>
        <v>44258.414696416221</v>
      </c>
      <c r="N37" s="36">
        <v>698022.87152426399</v>
      </c>
      <c r="O37" s="127">
        <f t="shared" si="3"/>
        <v>6.3405393292872578E-2</v>
      </c>
    </row>
    <row r="38" spans="1:15" x14ac:dyDescent="0.4">
      <c r="A38" s="225"/>
      <c r="B38" s="235"/>
      <c r="C38" s="246"/>
      <c r="D38" s="247" t="s">
        <v>90</v>
      </c>
      <c r="E38" s="32" t="s">
        <v>98</v>
      </c>
      <c r="F38" s="109" t="s">
        <v>50</v>
      </c>
      <c r="G38" s="109" t="s">
        <v>50</v>
      </c>
      <c r="H38" s="29" t="s">
        <v>50</v>
      </c>
      <c r="I38" s="109" t="s">
        <v>50</v>
      </c>
      <c r="J38" s="128" t="s">
        <v>50</v>
      </c>
      <c r="K38" s="109" t="s">
        <v>50</v>
      </c>
      <c r="L38" s="109" t="s">
        <v>50</v>
      </c>
      <c r="M38" s="29" t="s">
        <v>50</v>
      </c>
      <c r="N38" s="35" t="s">
        <v>50</v>
      </c>
      <c r="O38" s="128" t="s">
        <v>50</v>
      </c>
    </row>
    <row r="39" spans="1:15" x14ac:dyDescent="0.4">
      <c r="A39" s="225"/>
      <c r="B39" s="235"/>
      <c r="C39" s="246"/>
      <c r="D39" s="247"/>
      <c r="E39" s="32" t="s">
        <v>101</v>
      </c>
      <c r="F39" s="116">
        <v>76479.595081836087</v>
      </c>
      <c r="G39" s="116">
        <v>19665.911521567352</v>
      </c>
      <c r="H39" s="80">
        <f t="shared" si="0"/>
        <v>96145.506603403439</v>
      </c>
      <c r="I39" s="116">
        <v>953605.25114166003</v>
      </c>
      <c r="J39" s="125">
        <f t="shared" si="1"/>
        <v>0.10082317236434851</v>
      </c>
      <c r="K39" s="109">
        <v>26795.988079022321</v>
      </c>
      <c r="L39" s="110">
        <v>17462.426617393896</v>
      </c>
      <c r="M39" s="29">
        <f t="shared" si="2"/>
        <v>44258.414696416221</v>
      </c>
      <c r="N39" s="35">
        <v>699310.51750388404</v>
      </c>
      <c r="O39" s="128">
        <f t="shared" si="3"/>
        <v>6.3288644441373512E-2</v>
      </c>
    </row>
    <row r="40" spans="1:15" x14ac:dyDescent="0.4">
      <c r="A40" s="225"/>
      <c r="B40" s="235"/>
      <c r="C40" s="246"/>
      <c r="D40" s="246" t="s">
        <v>91</v>
      </c>
      <c r="E40" s="23" t="s">
        <v>98</v>
      </c>
      <c r="F40" s="111" t="s">
        <v>50</v>
      </c>
      <c r="G40" s="111" t="s">
        <v>50</v>
      </c>
      <c r="H40" s="15" t="s">
        <v>50</v>
      </c>
      <c r="I40" s="111" t="s">
        <v>50</v>
      </c>
      <c r="J40" s="127" t="s">
        <v>50</v>
      </c>
      <c r="K40" s="111" t="s">
        <v>50</v>
      </c>
      <c r="L40" s="111" t="s">
        <v>50</v>
      </c>
      <c r="M40" s="15" t="s">
        <v>50</v>
      </c>
      <c r="N40" s="36" t="s">
        <v>50</v>
      </c>
      <c r="O40" s="127" t="s">
        <v>50</v>
      </c>
    </row>
    <row r="41" spans="1:15" x14ac:dyDescent="0.4">
      <c r="A41" s="225"/>
      <c r="B41" s="235"/>
      <c r="C41" s="246"/>
      <c r="D41" s="246"/>
      <c r="E41" s="23" t="s">
        <v>102</v>
      </c>
      <c r="F41" s="116">
        <v>76479.595081836087</v>
      </c>
      <c r="G41" s="116">
        <v>19665.911521567352</v>
      </c>
      <c r="H41" s="80">
        <f t="shared" si="0"/>
        <v>96145.506603403439</v>
      </c>
      <c r="I41" s="116">
        <v>953930.03992415988</v>
      </c>
      <c r="J41" s="125">
        <f t="shared" si="1"/>
        <v>0.10078884465264065</v>
      </c>
      <c r="K41" s="111">
        <v>26795.988079022321</v>
      </c>
      <c r="L41" s="112">
        <v>17462.426617393896</v>
      </c>
      <c r="M41" s="15">
        <f t="shared" si="2"/>
        <v>44258.414696416221</v>
      </c>
      <c r="N41" s="36">
        <v>699548.69594438397</v>
      </c>
      <c r="O41" s="127">
        <f t="shared" si="3"/>
        <v>6.3267096276504078E-2</v>
      </c>
    </row>
    <row r="42" spans="1:15" x14ac:dyDescent="0.4">
      <c r="A42" s="225"/>
      <c r="B42" s="235"/>
      <c r="C42" s="246"/>
      <c r="D42" s="247" t="s">
        <v>92</v>
      </c>
      <c r="E42" s="32" t="s">
        <v>99</v>
      </c>
      <c r="F42" s="109" t="s">
        <v>50</v>
      </c>
      <c r="G42" s="109" t="s">
        <v>50</v>
      </c>
      <c r="H42" s="29" t="s">
        <v>50</v>
      </c>
      <c r="I42" s="109" t="s">
        <v>50</v>
      </c>
      <c r="J42" s="128" t="s">
        <v>50</v>
      </c>
      <c r="K42" s="109" t="s">
        <v>50</v>
      </c>
      <c r="L42" s="109" t="s">
        <v>50</v>
      </c>
      <c r="M42" s="29" t="s">
        <v>50</v>
      </c>
      <c r="N42" s="35" t="s">
        <v>50</v>
      </c>
      <c r="O42" s="128" t="s">
        <v>50</v>
      </c>
    </row>
    <row r="43" spans="1:15" x14ac:dyDescent="0.4">
      <c r="A43" s="225"/>
      <c r="B43" s="235"/>
      <c r="C43" s="246"/>
      <c r="D43" s="247"/>
      <c r="E43" s="32" t="s">
        <v>100</v>
      </c>
      <c r="F43" s="116">
        <v>82202.475585140332</v>
      </c>
      <c r="G43" s="116">
        <v>19665.911521567352</v>
      </c>
      <c r="H43" s="80">
        <f t="shared" si="0"/>
        <v>101868.38710670768</v>
      </c>
      <c r="I43" s="116">
        <v>1075644.6831907919</v>
      </c>
      <c r="J43" s="125">
        <f t="shared" si="1"/>
        <v>9.4704495544500208E-2</v>
      </c>
      <c r="K43" s="109">
        <v>29247.400554505497</v>
      </c>
      <c r="L43" s="110">
        <v>17462.426617393896</v>
      </c>
      <c r="M43" s="29">
        <f t="shared" si="2"/>
        <v>46709.827171899393</v>
      </c>
      <c r="N43" s="145">
        <v>788806.10100658087</v>
      </c>
      <c r="O43" s="128">
        <f t="shared" si="3"/>
        <v>5.9215854330099432E-2</v>
      </c>
    </row>
    <row r="44" spans="1:15" x14ac:dyDescent="0.4">
      <c r="A44" s="225"/>
      <c r="B44" s="235"/>
      <c r="C44" s="246"/>
      <c r="D44" s="246" t="s">
        <v>93</v>
      </c>
      <c r="E44" s="23" t="s">
        <v>99</v>
      </c>
      <c r="F44" s="111" t="s">
        <v>50</v>
      </c>
      <c r="G44" s="111" t="s">
        <v>50</v>
      </c>
      <c r="H44" s="15" t="s">
        <v>50</v>
      </c>
      <c r="I44" s="111" t="s">
        <v>50</v>
      </c>
      <c r="J44" s="127" t="s">
        <v>50</v>
      </c>
      <c r="K44" s="111" t="s">
        <v>50</v>
      </c>
      <c r="L44" s="111" t="s">
        <v>50</v>
      </c>
      <c r="M44" s="15" t="s">
        <v>50</v>
      </c>
      <c r="N44" s="36" t="s">
        <v>50</v>
      </c>
      <c r="O44" s="127" t="s">
        <v>50</v>
      </c>
    </row>
    <row r="45" spans="1:15" x14ac:dyDescent="0.4">
      <c r="A45" s="225"/>
      <c r="B45" s="235"/>
      <c r="C45" s="246"/>
      <c r="D45" s="246"/>
      <c r="E45" s="23" t="s">
        <v>101</v>
      </c>
      <c r="F45" s="116">
        <v>82202.475585140332</v>
      </c>
      <c r="G45" s="116">
        <v>19665.911521567352</v>
      </c>
      <c r="H45" s="80">
        <f t="shared" si="0"/>
        <v>101868.38710670768</v>
      </c>
      <c r="I45" s="116">
        <v>1077400.5640720921</v>
      </c>
      <c r="J45" s="125">
        <f t="shared" si="1"/>
        <v>9.4550152008173044E-2</v>
      </c>
      <c r="K45" s="111">
        <v>29247.400554505497</v>
      </c>
      <c r="L45" s="112">
        <v>17462.426617393896</v>
      </c>
      <c r="M45" s="15">
        <f t="shared" si="2"/>
        <v>46709.827171899393</v>
      </c>
      <c r="N45" s="26">
        <v>790093.7469862008</v>
      </c>
      <c r="O45" s="127">
        <f t="shared" si="3"/>
        <v>5.9119347988859851E-2</v>
      </c>
    </row>
    <row r="46" spans="1:15" x14ac:dyDescent="0.4">
      <c r="A46" s="225"/>
      <c r="B46" s="235"/>
      <c r="C46" s="246"/>
      <c r="D46" s="247" t="s">
        <v>94</v>
      </c>
      <c r="E46" s="32" t="s">
        <v>99</v>
      </c>
      <c r="F46" s="109" t="s">
        <v>50</v>
      </c>
      <c r="G46" s="109" t="s">
        <v>50</v>
      </c>
      <c r="H46" s="29" t="s">
        <v>50</v>
      </c>
      <c r="I46" s="109" t="s">
        <v>50</v>
      </c>
      <c r="J46" s="128" t="s">
        <v>50</v>
      </c>
      <c r="K46" s="109" t="s">
        <v>50</v>
      </c>
      <c r="L46" s="109" t="s">
        <v>50</v>
      </c>
      <c r="M46" s="29" t="s">
        <v>50</v>
      </c>
      <c r="N46" s="35" t="s">
        <v>50</v>
      </c>
      <c r="O46" s="128" t="s">
        <v>50</v>
      </c>
    </row>
    <row r="47" spans="1:15" x14ac:dyDescent="0.4">
      <c r="A47" s="225"/>
      <c r="B47" s="236"/>
      <c r="C47" s="246"/>
      <c r="D47" s="247"/>
      <c r="E47" s="32" t="s">
        <v>103</v>
      </c>
      <c r="F47" s="116">
        <v>82202.475585140332</v>
      </c>
      <c r="G47" s="116">
        <v>19665.911521567352</v>
      </c>
      <c r="H47" s="80">
        <f t="shared" si="0"/>
        <v>101868.38710670768</v>
      </c>
      <c r="I47" s="116">
        <v>1077725.352854592</v>
      </c>
      <c r="J47" s="125">
        <f t="shared" si="1"/>
        <v>9.4521657894459765E-2</v>
      </c>
      <c r="K47" s="109">
        <v>29247.400554505497</v>
      </c>
      <c r="L47" s="110">
        <v>17462.426617393896</v>
      </c>
      <c r="M47" s="29">
        <f t="shared" si="2"/>
        <v>46709.827171899393</v>
      </c>
      <c r="N47" s="145">
        <v>790331.92542670085</v>
      </c>
      <c r="O47" s="128">
        <f t="shared" si="3"/>
        <v>5.9101531482080416E-2</v>
      </c>
    </row>
    <row r="48" spans="1:15" x14ac:dyDescent="0.4">
      <c r="A48" s="225"/>
      <c r="B48" s="237" t="s">
        <v>104</v>
      </c>
      <c r="C48" s="240" t="s">
        <v>16</v>
      </c>
      <c r="D48" s="242" t="s">
        <v>56</v>
      </c>
      <c r="E48" s="243"/>
      <c r="F48" s="39" t="s">
        <v>50</v>
      </c>
      <c r="G48" s="39" t="s">
        <v>50</v>
      </c>
      <c r="H48" s="19" t="s">
        <v>50</v>
      </c>
      <c r="I48" s="39" t="s">
        <v>50</v>
      </c>
      <c r="J48" s="124" t="s">
        <v>50</v>
      </c>
      <c r="K48" s="115" t="s">
        <v>50</v>
      </c>
      <c r="L48" s="39" t="s">
        <v>50</v>
      </c>
      <c r="M48" s="19" t="s">
        <v>50</v>
      </c>
      <c r="N48" s="39" t="s">
        <v>50</v>
      </c>
      <c r="O48" s="124" t="s">
        <v>50</v>
      </c>
    </row>
    <row r="49" spans="1:15" x14ac:dyDescent="0.4">
      <c r="A49" s="225"/>
      <c r="B49" s="238"/>
      <c r="C49" s="241"/>
      <c r="D49" s="242" t="s">
        <v>75</v>
      </c>
      <c r="E49" s="243"/>
      <c r="F49" s="39" t="s">
        <v>50</v>
      </c>
      <c r="G49" s="39" t="s">
        <v>50</v>
      </c>
      <c r="H49" s="19" t="s">
        <v>50</v>
      </c>
      <c r="I49" s="39" t="s">
        <v>50</v>
      </c>
      <c r="J49" s="124" t="s">
        <v>50</v>
      </c>
      <c r="K49" s="115" t="s">
        <v>50</v>
      </c>
      <c r="L49" s="39" t="s">
        <v>50</v>
      </c>
      <c r="M49" s="19" t="s">
        <v>50</v>
      </c>
      <c r="N49" s="39" t="s">
        <v>50</v>
      </c>
      <c r="O49" s="124" t="s">
        <v>50</v>
      </c>
    </row>
    <row r="50" spans="1:15" x14ac:dyDescent="0.4">
      <c r="A50" s="225"/>
      <c r="B50" s="238"/>
      <c r="C50" s="244" t="s">
        <v>79</v>
      </c>
      <c r="D50" s="245" t="s">
        <v>80</v>
      </c>
      <c r="E50" s="41" t="s">
        <v>95</v>
      </c>
      <c r="F50" s="113" t="s">
        <v>50</v>
      </c>
      <c r="G50" s="113" t="s">
        <v>50</v>
      </c>
      <c r="H50" s="82" t="s">
        <v>50</v>
      </c>
      <c r="I50" s="113" t="s">
        <v>50</v>
      </c>
      <c r="J50" s="129" t="s">
        <v>50</v>
      </c>
      <c r="K50" s="113" t="s">
        <v>50</v>
      </c>
      <c r="L50" s="113" t="s">
        <v>50</v>
      </c>
      <c r="M50" s="82" t="s">
        <v>50</v>
      </c>
      <c r="N50" s="113" t="s">
        <v>50</v>
      </c>
      <c r="O50" s="129" t="s">
        <v>50</v>
      </c>
    </row>
    <row r="51" spans="1:15" x14ac:dyDescent="0.4">
      <c r="A51" s="225"/>
      <c r="B51" s="238"/>
      <c r="C51" s="244"/>
      <c r="D51" s="245"/>
      <c r="E51" s="41" t="s">
        <v>100</v>
      </c>
      <c r="F51" s="114">
        <v>70677.31955875094</v>
      </c>
      <c r="G51" s="114">
        <v>19665.911521567352</v>
      </c>
      <c r="H51" s="82">
        <f t="shared" si="0"/>
        <v>90343.231080318292</v>
      </c>
      <c r="I51" s="114">
        <v>663976.70982133911</v>
      </c>
      <c r="J51" s="129">
        <f t="shared" si="1"/>
        <v>0.13606385546961064</v>
      </c>
      <c r="K51" s="113">
        <v>24344.575603539157</v>
      </c>
      <c r="L51" s="114">
        <v>17462.426617393896</v>
      </c>
      <c r="M51" s="82">
        <f t="shared" si="2"/>
        <v>41807.002220933049</v>
      </c>
      <c r="N51" s="113">
        <v>486916.25386898202</v>
      </c>
      <c r="O51" s="129">
        <f t="shared" si="3"/>
        <v>8.5860765354903001E-2</v>
      </c>
    </row>
    <row r="52" spans="1:15" x14ac:dyDescent="0.4">
      <c r="A52" s="225"/>
      <c r="B52" s="238"/>
      <c r="C52" s="244"/>
      <c r="D52" s="244" t="s">
        <v>81</v>
      </c>
      <c r="E52" s="31" t="s">
        <v>95</v>
      </c>
      <c r="F52" s="115" t="s">
        <v>50</v>
      </c>
      <c r="G52" s="115" t="s">
        <v>50</v>
      </c>
      <c r="H52" s="19" t="s">
        <v>50</v>
      </c>
      <c r="I52" s="115" t="s">
        <v>50</v>
      </c>
      <c r="J52" s="124" t="s">
        <v>50</v>
      </c>
      <c r="K52" s="115" t="s">
        <v>50</v>
      </c>
      <c r="L52" s="115" t="s">
        <v>50</v>
      </c>
      <c r="M52" s="19" t="s">
        <v>50</v>
      </c>
      <c r="N52" s="39" t="s">
        <v>50</v>
      </c>
      <c r="O52" s="124" t="s">
        <v>50</v>
      </c>
    </row>
    <row r="53" spans="1:15" x14ac:dyDescent="0.4">
      <c r="A53" s="225"/>
      <c r="B53" s="238"/>
      <c r="C53" s="244"/>
      <c r="D53" s="244"/>
      <c r="E53" s="31" t="s">
        <v>101</v>
      </c>
      <c r="F53" s="39">
        <v>70677.31955875094</v>
      </c>
      <c r="G53" s="39">
        <v>19665.911521567352</v>
      </c>
      <c r="H53" s="19">
        <f t="shared" si="0"/>
        <v>90343.231080318292</v>
      </c>
      <c r="I53" s="39">
        <v>665732.59070263919</v>
      </c>
      <c r="J53" s="124">
        <f t="shared" si="1"/>
        <v>0.13570498476718204</v>
      </c>
      <c r="K53" s="115">
        <v>24344.575603539157</v>
      </c>
      <c r="L53" s="39">
        <v>17462.426617393896</v>
      </c>
      <c r="M53" s="19">
        <f t="shared" si="2"/>
        <v>41807.002220933049</v>
      </c>
      <c r="N53" s="39">
        <v>488203.89984860213</v>
      </c>
      <c r="O53" s="124">
        <f t="shared" si="3"/>
        <v>8.5634306145235428E-2</v>
      </c>
    </row>
    <row r="54" spans="1:15" x14ac:dyDescent="0.4">
      <c r="A54" s="225"/>
      <c r="B54" s="238"/>
      <c r="C54" s="244"/>
      <c r="D54" s="245" t="s">
        <v>82</v>
      </c>
      <c r="E54" s="41" t="s">
        <v>95</v>
      </c>
      <c r="F54" s="113" t="s">
        <v>50</v>
      </c>
      <c r="G54" s="113" t="s">
        <v>50</v>
      </c>
      <c r="H54" s="82" t="s">
        <v>50</v>
      </c>
      <c r="I54" s="113" t="s">
        <v>50</v>
      </c>
      <c r="J54" s="129" t="s">
        <v>50</v>
      </c>
      <c r="K54" s="113" t="s">
        <v>50</v>
      </c>
      <c r="L54" s="113" t="s">
        <v>50</v>
      </c>
      <c r="M54" s="82" t="s">
        <v>50</v>
      </c>
      <c r="N54" s="113" t="s">
        <v>50</v>
      </c>
      <c r="O54" s="129" t="s">
        <v>50</v>
      </c>
    </row>
    <row r="55" spans="1:15" x14ac:dyDescent="0.4">
      <c r="A55" s="225"/>
      <c r="B55" s="238"/>
      <c r="C55" s="244"/>
      <c r="D55" s="245"/>
      <c r="E55" s="41" t="s">
        <v>102</v>
      </c>
      <c r="F55" s="114">
        <v>70677.31955875094</v>
      </c>
      <c r="G55" s="114">
        <v>19665.911521567352</v>
      </c>
      <c r="H55" s="82">
        <f t="shared" si="0"/>
        <v>90343.231080318292</v>
      </c>
      <c r="I55" s="114">
        <v>666057.37948513916</v>
      </c>
      <c r="J55" s="129">
        <f t="shared" si="1"/>
        <v>0.13563881110386225</v>
      </c>
      <c r="K55" s="113">
        <v>24344.575603539157</v>
      </c>
      <c r="L55" s="114">
        <v>17462.426617393896</v>
      </c>
      <c r="M55" s="82">
        <f t="shared" si="2"/>
        <v>41807.002220933049</v>
      </c>
      <c r="N55" s="113">
        <v>488442.07828910206</v>
      </c>
      <c r="O55" s="129">
        <f t="shared" si="3"/>
        <v>8.5592548388486844E-2</v>
      </c>
    </row>
    <row r="56" spans="1:15" x14ac:dyDescent="0.4">
      <c r="A56" s="225"/>
      <c r="B56" s="238"/>
      <c r="C56" s="244"/>
      <c r="D56" s="244" t="s">
        <v>83</v>
      </c>
      <c r="E56" s="31" t="s">
        <v>96</v>
      </c>
      <c r="F56" s="115" t="s">
        <v>50</v>
      </c>
      <c r="G56" s="115" t="s">
        <v>50</v>
      </c>
      <c r="H56" s="19" t="s">
        <v>50</v>
      </c>
      <c r="I56" s="115" t="s">
        <v>50</v>
      </c>
      <c r="J56" s="124" t="s">
        <v>50</v>
      </c>
      <c r="K56" s="115" t="s">
        <v>50</v>
      </c>
      <c r="L56" s="115" t="s">
        <v>50</v>
      </c>
      <c r="M56" s="19" t="s">
        <v>50</v>
      </c>
      <c r="N56" s="39" t="s">
        <v>50</v>
      </c>
      <c r="O56" s="124" t="s">
        <v>50</v>
      </c>
    </row>
    <row r="57" spans="1:15" x14ac:dyDescent="0.4">
      <c r="A57" s="225"/>
      <c r="B57" s="238"/>
      <c r="C57" s="244"/>
      <c r="D57" s="244"/>
      <c r="E57" s="31" t="s">
        <v>100</v>
      </c>
      <c r="F57" s="39">
        <v>76479.595081836102</v>
      </c>
      <c r="G57" s="39">
        <v>19665.911521567352</v>
      </c>
      <c r="H57" s="19">
        <f t="shared" si="0"/>
        <v>96145.506603403453</v>
      </c>
      <c r="I57" s="39">
        <v>787772.02275177115</v>
      </c>
      <c r="J57" s="124">
        <f t="shared" si="1"/>
        <v>0.12204737389321978</v>
      </c>
      <c r="K57" s="115">
        <v>26795.988079022329</v>
      </c>
      <c r="L57" s="39">
        <v>17462.426617393896</v>
      </c>
      <c r="M57" s="19">
        <f t="shared" si="2"/>
        <v>44258.414696416221</v>
      </c>
      <c r="N57" s="39">
        <v>577699.48335129884</v>
      </c>
      <c r="O57" s="124">
        <f t="shared" si="3"/>
        <v>7.6611483949523801E-2</v>
      </c>
    </row>
    <row r="58" spans="1:15" x14ac:dyDescent="0.4">
      <c r="A58" s="225"/>
      <c r="B58" s="238"/>
      <c r="C58" s="244"/>
      <c r="D58" s="245" t="s">
        <v>84</v>
      </c>
      <c r="E58" s="41" t="s">
        <v>96</v>
      </c>
      <c r="F58" s="113" t="s">
        <v>50</v>
      </c>
      <c r="G58" s="113" t="s">
        <v>50</v>
      </c>
      <c r="H58" s="82" t="s">
        <v>50</v>
      </c>
      <c r="I58" s="113" t="s">
        <v>50</v>
      </c>
      <c r="J58" s="129" t="s">
        <v>50</v>
      </c>
      <c r="K58" s="113" t="s">
        <v>50</v>
      </c>
      <c r="L58" s="113" t="s">
        <v>50</v>
      </c>
      <c r="M58" s="82" t="s">
        <v>50</v>
      </c>
      <c r="N58" s="113" t="s">
        <v>50</v>
      </c>
      <c r="O58" s="129" t="s">
        <v>50</v>
      </c>
    </row>
    <row r="59" spans="1:15" x14ac:dyDescent="0.4">
      <c r="A59" s="225"/>
      <c r="B59" s="238"/>
      <c r="C59" s="244"/>
      <c r="D59" s="245"/>
      <c r="E59" s="41" t="s">
        <v>101</v>
      </c>
      <c r="F59" s="114">
        <v>76479.595081836102</v>
      </c>
      <c r="G59" s="114">
        <v>19665.911521567352</v>
      </c>
      <c r="H59" s="82">
        <f t="shared" si="0"/>
        <v>96145.506603403453</v>
      </c>
      <c r="I59" s="114">
        <v>789527.90363307111</v>
      </c>
      <c r="J59" s="129">
        <f t="shared" si="1"/>
        <v>0.12177594504384555</v>
      </c>
      <c r="K59" s="113">
        <v>26795.988079022329</v>
      </c>
      <c r="L59" s="114">
        <v>17462.426617393896</v>
      </c>
      <c r="M59" s="82">
        <f t="shared" si="2"/>
        <v>44258.414696416221</v>
      </c>
      <c r="N59" s="113">
        <v>578987.12933091889</v>
      </c>
      <c r="O59" s="129">
        <f t="shared" si="3"/>
        <v>7.6441102840336922E-2</v>
      </c>
    </row>
    <row r="60" spans="1:15" x14ac:dyDescent="0.4">
      <c r="A60" s="225"/>
      <c r="B60" s="238"/>
      <c r="C60" s="244"/>
      <c r="D60" s="244" t="s">
        <v>85</v>
      </c>
      <c r="E60" s="31" t="s">
        <v>96</v>
      </c>
      <c r="F60" s="115" t="s">
        <v>50</v>
      </c>
      <c r="G60" s="115" t="s">
        <v>50</v>
      </c>
      <c r="H60" s="19" t="s">
        <v>50</v>
      </c>
      <c r="I60" s="115" t="s">
        <v>50</v>
      </c>
      <c r="J60" s="124" t="s">
        <v>50</v>
      </c>
      <c r="K60" s="115" t="s">
        <v>50</v>
      </c>
      <c r="L60" s="115" t="s">
        <v>50</v>
      </c>
      <c r="M60" s="19" t="s">
        <v>50</v>
      </c>
      <c r="N60" s="39" t="s">
        <v>50</v>
      </c>
      <c r="O60" s="124" t="s">
        <v>50</v>
      </c>
    </row>
    <row r="61" spans="1:15" x14ac:dyDescent="0.4">
      <c r="A61" s="225"/>
      <c r="B61" s="238"/>
      <c r="C61" s="244"/>
      <c r="D61" s="244"/>
      <c r="E61" s="31" t="s">
        <v>102</v>
      </c>
      <c r="F61" s="39">
        <v>76479.595081836102</v>
      </c>
      <c r="G61" s="39">
        <v>19665.911521567352</v>
      </c>
      <c r="H61" s="19">
        <f t="shared" si="0"/>
        <v>96145.506603403453</v>
      </c>
      <c r="I61" s="39">
        <v>789852.69241557119</v>
      </c>
      <c r="J61" s="124">
        <f t="shared" si="1"/>
        <v>0.1217258705662773</v>
      </c>
      <c r="K61" s="115">
        <v>26795.988079022329</v>
      </c>
      <c r="L61" s="39">
        <v>17462.426617393896</v>
      </c>
      <c r="M61" s="19">
        <f t="shared" si="2"/>
        <v>44258.414696416221</v>
      </c>
      <c r="N61" s="39">
        <v>579225.30777141894</v>
      </c>
      <c r="O61" s="124">
        <f t="shared" si="3"/>
        <v>7.6409670127676854E-2</v>
      </c>
    </row>
    <row r="62" spans="1:15" x14ac:dyDescent="0.4">
      <c r="A62" s="225"/>
      <c r="B62" s="238"/>
      <c r="C62" s="244"/>
      <c r="D62" s="245" t="s">
        <v>86</v>
      </c>
      <c r="E62" s="41" t="s">
        <v>97</v>
      </c>
      <c r="F62" s="113" t="s">
        <v>50</v>
      </c>
      <c r="G62" s="113" t="s">
        <v>50</v>
      </c>
      <c r="H62" s="82" t="s">
        <v>50</v>
      </c>
      <c r="I62" s="113" t="s">
        <v>50</v>
      </c>
      <c r="J62" s="129" t="s">
        <v>50</v>
      </c>
      <c r="K62" s="113" t="s">
        <v>50</v>
      </c>
      <c r="L62" s="113" t="s">
        <v>50</v>
      </c>
      <c r="M62" s="82" t="s">
        <v>50</v>
      </c>
      <c r="N62" s="113" t="s">
        <v>50</v>
      </c>
      <c r="O62" s="129" t="s">
        <v>50</v>
      </c>
    </row>
    <row r="63" spans="1:15" x14ac:dyDescent="0.4">
      <c r="A63" s="225"/>
      <c r="B63" s="238"/>
      <c r="C63" s="244"/>
      <c r="D63" s="245"/>
      <c r="E63" s="41" t="s">
        <v>100</v>
      </c>
      <c r="F63" s="117">
        <v>85036.690303359894</v>
      </c>
      <c r="G63" s="117">
        <v>19665.911521567352</v>
      </c>
      <c r="H63" s="80">
        <f t="shared" si="0"/>
        <v>104702.60182492725</v>
      </c>
      <c r="I63" s="117">
        <v>973464.99214741925</v>
      </c>
      <c r="J63" s="125">
        <f t="shared" si="1"/>
        <v>0.10755661751529255</v>
      </c>
      <c r="K63" s="113">
        <v>30473.106792247079</v>
      </c>
      <c r="L63" s="114">
        <v>17462.426617393896</v>
      </c>
      <c r="M63" s="82">
        <f t="shared" si="2"/>
        <v>47935.533409640979</v>
      </c>
      <c r="N63" s="113">
        <v>713874.32757477404</v>
      </c>
      <c r="O63" s="129">
        <f t="shared" si="3"/>
        <v>6.714842032839459E-2</v>
      </c>
    </row>
    <row r="64" spans="1:15" x14ac:dyDescent="0.4">
      <c r="A64" s="225"/>
      <c r="B64" s="238"/>
      <c r="C64" s="244"/>
      <c r="D64" s="244" t="s">
        <v>87</v>
      </c>
      <c r="E64" s="31" t="s">
        <v>97</v>
      </c>
      <c r="F64" s="115" t="s">
        <v>50</v>
      </c>
      <c r="G64" s="115" t="s">
        <v>50</v>
      </c>
      <c r="H64" s="19" t="s">
        <v>50</v>
      </c>
      <c r="I64" s="115" t="s">
        <v>50</v>
      </c>
      <c r="J64" s="124" t="s">
        <v>50</v>
      </c>
      <c r="K64" s="115" t="s">
        <v>50</v>
      </c>
      <c r="L64" s="115" t="s">
        <v>50</v>
      </c>
      <c r="M64" s="19" t="s">
        <v>50</v>
      </c>
      <c r="N64" s="39" t="s">
        <v>50</v>
      </c>
      <c r="O64" s="124" t="s">
        <v>50</v>
      </c>
    </row>
    <row r="65" spans="1:15" x14ac:dyDescent="0.4">
      <c r="A65" s="225"/>
      <c r="B65" s="238"/>
      <c r="C65" s="244"/>
      <c r="D65" s="244"/>
      <c r="E65" s="31" t="s">
        <v>101</v>
      </c>
      <c r="F65" s="117">
        <v>85036.690303359894</v>
      </c>
      <c r="G65" s="117">
        <v>19665.911521567352</v>
      </c>
      <c r="H65" s="80">
        <f t="shared" si="0"/>
        <v>104702.60182492725</v>
      </c>
      <c r="I65" s="117">
        <v>975220.87302871922</v>
      </c>
      <c r="J65" s="125">
        <f t="shared" si="1"/>
        <v>0.10736296229976598</v>
      </c>
      <c r="K65" s="115">
        <v>30473.106792247079</v>
      </c>
      <c r="L65" s="39">
        <v>17462.426617393896</v>
      </c>
      <c r="M65" s="19">
        <f t="shared" si="2"/>
        <v>47935.533409640979</v>
      </c>
      <c r="N65" s="39">
        <v>715161.97355439409</v>
      </c>
      <c r="O65" s="124">
        <f t="shared" si="3"/>
        <v>6.702751989370849E-2</v>
      </c>
    </row>
    <row r="66" spans="1:15" x14ac:dyDescent="0.4">
      <c r="A66" s="225"/>
      <c r="B66" s="238"/>
      <c r="C66" s="244"/>
      <c r="D66" s="245" t="s">
        <v>88</v>
      </c>
      <c r="E66" s="41" t="s">
        <v>97</v>
      </c>
      <c r="F66" s="113" t="s">
        <v>50</v>
      </c>
      <c r="G66" s="113" t="s">
        <v>50</v>
      </c>
      <c r="H66" s="82" t="s">
        <v>50</v>
      </c>
      <c r="I66" s="113" t="s">
        <v>50</v>
      </c>
      <c r="J66" s="129" t="s">
        <v>50</v>
      </c>
      <c r="K66" s="113" t="s">
        <v>50</v>
      </c>
      <c r="L66" s="113" t="s">
        <v>50</v>
      </c>
      <c r="M66" s="82" t="s">
        <v>50</v>
      </c>
      <c r="N66" s="113" t="s">
        <v>50</v>
      </c>
      <c r="O66" s="129" t="s">
        <v>50</v>
      </c>
    </row>
    <row r="67" spans="1:15" x14ac:dyDescent="0.4">
      <c r="A67" s="225"/>
      <c r="B67" s="238"/>
      <c r="C67" s="244"/>
      <c r="D67" s="245"/>
      <c r="E67" s="41" t="s">
        <v>102</v>
      </c>
      <c r="F67" s="117">
        <v>85036.690303359894</v>
      </c>
      <c r="G67" s="117">
        <v>19665.911521567352</v>
      </c>
      <c r="H67" s="80">
        <f t="shared" si="0"/>
        <v>104702.60182492725</v>
      </c>
      <c r="I67" s="117">
        <v>975545.6618112193</v>
      </c>
      <c r="J67" s="125">
        <f t="shared" si="1"/>
        <v>0.10732721790852323</v>
      </c>
      <c r="K67" s="113">
        <v>30473.106792247079</v>
      </c>
      <c r="L67" s="114">
        <v>17462.426617393896</v>
      </c>
      <c r="M67" s="82">
        <f t="shared" si="2"/>
        <v>47935.533409640979</v>
      </c>
      <c r="N67" s="113">
        <v>715400.15199489414</v>
      </c>
      <c r="O67" s="129">
        <f t="shared" si="3"/>
        <v>6.7005204396410445E-2</v>
      </c>
    </row>
    <row r="68" spans="1:15" x14ac:dyDescent="0.4">
      <c r="A68" s="225"/>
      <c r="B68" s="238"/>
      <c r="C68" s="244"/>
      <c r="D68" s="244" t="s">
        <v>89</v>
      </c>
      <c r="E68" s="31" t="s">
        <v>98</v>
      </c>
      <c r="F68" s="115" t="s">
        <v>50</v>
      </c>
      <c r="G68" s="115" t="s">
        <v>50</v>
      </c>
      <c r="H68" s="19" t="s">
        <v>50</v>
      </c>
      <c r="I68" s="115" t="s">
        <v>50</v>
      </c>
      <c r="J68" s="124" t="s">
        <v>50</v>
      </c>
      <c r="K68" s="115" t="s">
        <v>50</v>
      </c>
      <c r="L68" s="115" t="s">
        <v>50</v>
      </c>
      <c r="M68" s="19" t="s">
        <v>50</v>
      </c>
      <c r="N68" s="39" t="s">
        <v>50</v>
      </c>
      <c r="O68" s="124" t="s">
        <v>50</v>
      </c>
    </row>
    <row r="69" spans="1:15" x14ac:dyDescent="0.4">
      <c r="A69" s="225"/>
      <c r="B69" s="238"/>
      <c r="C69" s="244"/>
      <c r="D69" s="244"/>
      <c r="E69" s="31" t="s">
        <v>100</v>
      </c>
      <c r="F69" s="117">
        <v>90654.977193708517</v>
      </c>
      <c r="G69" s="117">
        <v>19665.911521567352</v>
      </c>
      <c r="H69" s="80">
        <f t="shared" si="0"/>
        <v>110320.88871527587</v>
      </c>
      <c r="I69" s="117">
        <v>1097260.3050778511</v>
      </c>
      <c r="J69" s="125">
        <f t="shared" si="1"/>
        <v>0.10054213043590286</v>
      </c>
      <c r="K69" s="115">
        <v>32924.519267730255</v>
      </c>
      <c r="L69" s="39">
        <v>17462.426617393896</v>
      </c>
      <c r="M69" s="19">
        <f t="shared" si="2"/>
        <v>50386.945885124151</v>
      </c>
      <c r="N69" s="39">
        <v>804657.5570570908</v>
      </c>
      <c r="O69" s="124">
        <f t="shared" si="3"/>
        <v>6.2619117217275047E-2</v>
      </c>
    </row>
    <row r="70" spans="1:15" x14ac:dyDescent="0.4">
      <c r="A70" s="225"/>
      <c r="B70" s="238"/>
      <c r="C70" s="244"/>
      <c r="D70" s="245" t="s">
        <v>90</v>
      </c>
      <c r="E70" s="41" t="s">
        <v>98</v>
      </c>
      <c r="F70" s="113" t="s">
        <v>50</v>
      </c>
      <c r="G70" s="113" t="s">
        <v>50</v>
      </c>
      <c r="H70" s="82" t="s">
        <v>50</v>
      </c>
      <c r="I70" s="113" t="s">
        <v>50</v>
      </c>
      <c r="J70" s="129" t="s">
        <v>50</v>
      </c>
      <c r="K70" s="113" t="s">
        <v>50</v>
      </c>
      <c r="L70" s="113" t="s">
        <v>50</v>
      </c>
      <c r="M70" s="82" t="s">
        <v>50</v>
      </c>
      <c r="N70" s="113" t="s">
        <v>50</v>
      </c>
      <c r="O70" s="129" t="s">
        <v>50</v>
      </c>
    </row>
    <row r="71" spans="1:15" x14ac:dyDescent="0.4">
      <c r="A71" s="225"/>
      <c r="B71" s="238"/>
      <c r="C71" s="244"/>
      <c r="D71" s="245"/>
      <c r="E71" s="41" t="s">
        <v>101</v>
      </c>
      <c r="F71" s="117">
        <v>90654.977193708517</v>
      </c>
      <c r="G71" s="117">
        <v>19665.911521567352</v>
      </c>
      <c r="H71" s="80">
        <f t="shared" ref="H71:H79" si="4">(F71+G71)</f>
        <v>110320.88871527587</v>
      </c>
      <c r="I71" s="117">
        <v>1099016.185959151</v>
      </c>
      <c r="J71" s="125">
        <f t="shared" ref="J71:J79" si="5">H71/I71</f>
        <v>0.10038149585485391</v>
      </c>
      <c r="K71" s="113">
        <v>32924.519267730255</v>
      </c>
      <c r="L71" s="114">
        <v>17462.426617393896</v>
      </c>
      <c r="M71" s="82">
        <f t="shared" ref="M71:M79" si="6">(K71+L71)</f>
        <v>50386.945885124151</v>
      </c>
      <c r="N71" s="114">
        <v>805945.20303671074</v>
      </c>
      <c r="O71" s="129">
        <f t="shared" ref="O71:O79" si="7">M71/N71</f>
        <v>6.2519071638210411E-2</v>
      </c>
    </row>
    <row r="72" spans="1:15" x14ac:dyDescent="0.4">
      <c r="A72" s="225"/>
      <c r="B72" s="238"/>
      <c r="C72" s="244"/>
      <c r="D72" s="244" t="s">
        <v>91</v>
      </c>
      <c r="E72" s="31" t="s">
        <v>98</v>
      </c>
      <c r="F72" s="115" t="s">
        <v>50</v>
      </c>
      <c r="G72" s="115" t="s">
        <v>50</v>
      </c>
      <c r="H72" s="19" t="s">
        <v>50</v>
      </c>
      <c r="I72" s="115" t="s">
        <v>50</v>
      </c>
      <c r="J72" s="124" t="s">
        <v>50</v>
      </c>
      <c r="K72" s="115" t="s">
        <v>50</v>
      </c>
      <c r="L72" s="115" t="s">
        <v>50</v>
      </c>
      <c r="M72" s="19" t="s">
        <v>50</v>
      </c>
      <c r="N72" s="39" t="s">
        <v>50</v>
      </c>
      <c r="O72" s="124" t="s">
        <v>50</v>
      </c>
    </row>
    <row r="73" spans="1:15" x14ac:dyDescent="0.4">
      <c r="A73" s="225"/>
      <c r="B73" s="238"/>
      <c r="C73" s="244"/>
      <c r="D73" s="244"/>
      <c r="E73" s="31" t="s">
        <v>102</v>
      </c>
      <c r="F73" s="117">
        <v>90654.977193708517</v>
      </c>
      <c r="G73" s="117">
        <v>19665.911521567352</v>
      </c>
      <c r="H73" s="80">
        <f t="shared" si="4"/>
        <v>110320.88871527587</v>
      </c>
      <c r="I73" s="117">
        <v>1099340.9747416512</v>
      </c>
      <c r="J73" s="125">
        <f t="shared" si="5"/>
        <v>0.10035183919275059</v>
      </c>
      <c r="K73" s="115">
        <v>32924.519267730255</v>
      </c>
      <c r="L73" s="39">
        <v>17462.426617393896</v>
      </c>
      <c r="M73" s="19">
        <f t="shared" si="6"/>
        <v>50386.945885124151</v>
      </c>
      <c r="N73" s="39">
        <v>806183.3814772109</v>
      </c>
      <c r="O73" s="124">
        <f t="shared" si="7"/>
        <v>6.2500601032977859E-2</v>
      </c>
    </row>
    <row r="74" spans="1:15" x14ac:dyDescent="0.4">
      <c r="A74" s="225"/>
      <c r="B74" s="238"/>
      <c r="C74" s="244"/>
      <c r="D74" s="245" t="s">
        <v>92</v>
      </c>
      <c r="E74" s="41" t="s">
        <v>99</v>
      </c>
      <c r="F74" s="113" t="s">
        <v>50</v>
      </c>
      <c r="G74" s="113" t="s">
        <v>50</v>
      </c>
      <c r="H74" s="82" t="s">
        <v>50</v>
      </c>
      <c r="I74" s="113" t="s">
        <v>50</v>
      </c>
      <c r="J74" s="129" t="s">
        <v>50</v>
      </c>
      <c r="K74" s="113" t="s">
        <v>50</v>
      </c>
      <c r="L74" s="113" t="s">
        <v>50</v>
      </c>
      <c r="M74" s="82" t="s">
        <v>50</v>
      </c>
      <c r="N74" s="113" t="s">
        <v>50</v>
      </c>
      <c r="O74" s="129" t="s">
        <v>50</v>
      </c>
    </row>
    <row r="75" spans="1:15" x14ac:dyDescent="0.4">
      <c r="A75" s="225"/>
      <c r="B75" s="238"/>
      <c r="C75" s="244"/>
      <c r="D75" s="245"/>
      <c r="E75" s="41" t="s">
        <v>100</v>
      </c>
      <c r="F75" s="117">
        <v>96211.328696102559</v>
      </c>
      <c r="G75" s="117">
        <v>19665.911521567352</v>
      </c>
      <c r="H75" s="80">
        <f t="shared" si="4"/>
        <v>115877.24021766991</v>
      </c>
      <c r="I75" s="117">
        <v>1221055.6180082832</v>
      </c>
      <c r="J75" s="125">
        <f t="shared" si="5"/>
        <v>9.4899231868473197E-2</v>
      </c>
      <c r="K75" s="121">
        <v>35375.931743213419</v>
      </c>
      <c r="L75" s="117">
        <v>17462.426617393896</v>
      </c>
      <c r="M75" s="80">
        <f t="shared" si="6"/>
        <v>52838.358360607315</v>
      </c>
      <c r="N75" s="117">
        <v>895440.78653940768</v>
      </c>
      <c r="O75" s="125">
        <f t="shared" si="7"/>
        <v>5.9008210430988604E-2</v>
      </c>
    </row>
    <row r="76" spans="1:15" x14ac:dyDescent="0.4">
      <c r="A76" s="225"/>
      <c r="B76" s="238"/>
      <c r="C76" s="244"/>
      <c r="D76" s="244" t="s">
        <v>93</v>
      </c>
      <c r="E76" s="31" t="s">
        <v>99</v>
      </c>
      <c r="F76" s="115" t="s">
        <v>50</v>
      </c>
      <c r="G76" s="115" t="s">
        <v>50</v>
      </c>
      <c r="H76" s="19" t="s">
        <v>50</v>
      </c>
      <c r="I76" s="115" t="s">
        <v>50</v>
      </c>
      <c r="J76" s="124" t="s">
        <v>50</v>
      </c>
      <c r="K76" s="115" t="s">
        <v>50</v>
      </c>
      <c r="L76" s="115" t="s">
        <v>50</v>
      </c>
      <c r="M76" s="19" t="s">
        <v>50</v>
      </c>
      <c r="N76" s="39" t="s">
        <v>50</v>
      </c>
      <c r="O76" s="124" t="s">
        <v>50</v>
      </c>
    </row>
    <row r="77" spans="1:15" x14ac:dyDescent="0.4">
      <c r="A77" s="225"/>
      <c r="B77" s="238"/>
      <c r="C77" s="244"/>
      <c r="D77" s="244"/>
      <c r="E77" s="31" t="s">
        <v>101</v>
      </c>
      <c r="F77" s="117">
        <v>96211.328696102559</v>
      </c>
      <c r="G77" s="117">
        <v>19665.911521567352</v>
      </c>
      <c r="H77" s="80">
        <f t="shared" si="4"/>
        <v>115877.24021766991</v>
      </c>
      <c r="I77" s="117">
        <v>1222811.4988895832</v>
      </c>
      <c r="J77" s="125">
        <f t="shared" si="5"/>
        <v>9.4762962503130127E-2</v>
      </c>
      <c r="K77" s="121">
        <v>35375.931743213419</v>
      </c>
      <c r="L77" s="117">
        <v>17462.426617393896</v>
      </c>
      <c r="M77" s="80">
        <f t="shared" si="6"/>
        <v>52838.358360607315</v>
      </c>
      <c r="N77" s="117">
        <v>896728.43251902773</v>
      </c>
      <c r="O77" s="125">
        <f t="shared" si="7"/>
        <v>5.8923478329082797E-2</v>
      </c>
    </row>
    <row r="78" spans="1:15" x14ac:dyDescent="0.4">
      <c r="A78" s="225"/>
      <c r="B78" s="238"/>
      <c r="C78" s="244"/>
      <c r="D78" s="245" t="s">
        <v>94</v>
      </c>
      <c r="E78" s="41" t="s">
        <v>99</v>
      </c>
      <c r="F78" s="113" t="s">
        <v>50</v>
      </c>
      <c r="G78" s="113" t="s">
        <v>50</v>
      </c>
      <c r="H78" s="82" t="s">
        <v>50</v>
      </c>
      <c r="I78" s="113" t="s">
        <v>50</v>
      </c>
      <c r="J78" s="129" t="s">
        <v>50</v>
      </c>
      <c r="K78" s="113" t="s">
        <v>50</v>
      </c>
      <c r="L78" s="113" t="s">
        <v>50</v>
      </c>
      <c r="M78" s="82" t="s">
        <v>50</v>
      </c>
      <c r="N78" s="113" t="s">
        <v>50</v>
      </c>
      <c r="O78" s="129" t="s">
        <v>50</v>
      </c>
    </row>
    <row r="79" spans="1:15" x14ac:dyDescent="0.4">
      <c r="A79" s="226"/>
      <c r="B79" s="239"/>
      <c r="C79" s="244"/>
      <c r="D79" s="245"/>
      <c r="E79" s="41" t="s">
        <v>103</v>
      </c>
      <c r="F79" s="117">
        <v>96211.328696102559</v>
      </c>
      <c r="G79" s="117">
        <v>19665.911521567352</v>
      </c>
      <c r="H79" s="80">
        <f t="shared" si="4"/>
        <v>115877.24021766991</v>
      </c>
      <c r="I79" s="117">
        <v>1223136.2876720831</v>
      </c>
      <c r="J79" s="125">
        <f t="shared" si="5"/>
        <v>9.4737799365115422E-2</v>
      </c>
      <c r="K79" s="121">
        <v>35375.931743213419</v>
      </c>
      <c r="L79" s="117">
        <v>17462.426617393896</v>
      </c>
      <c r="M79" s="80">
        <f t="shared" si="6"/>
        <v>52838.358360607315</v>
      </c>
      <c r="N79" s="117">
        <v>896966.61095952778</v>
      </c>
      <c r="O79" s="125">
        <f t="shared" si="7"/>
        <v>5.8907831924851266E-2</v>
      </c>
    </row>
  </sheetData>
  <mergeCells count="64">
    <mergeCell ref="D28:D29"/>
    <mergeCell ref="D30:D31"/>
    <mergeCell ref="D32:D33"/>
    <mergeCell ref="F4:J4"/>
    <mergeCell ref="F1:O1"/>
    <mergeCell ref="K3:O3"/>
    <mergeCell ref="K4:O4"/>
    <mergeCell ref="D24:D25"/>
    <mergeCell ref="D26:D27"/>
    <mergeCell ref="D64:D65"/>
    <mergeCell ref="D66:D67"/>
    <mergeCell ref="D34:D35"/>
    <mergeCell ref="D36:D37"/>
    <mergeCell ref="D40:D41"/>
    <mergeCell ref="D42:D43"/>
    <mergeCell ref="D44:D45"/>
    <mergeCell ref="D46:D47"/>
    <mergeCell ref="D56:D57"/>
    <mergeCell ref="D58:D59"/>
    <mergeCell ref="B48:B79"/>
    <mergeCell ref="C48:C49"/>
    <mergeCell ref="D48:E48"/>
    <mergeCell ref="D49:E49"/>
    <mergeCell ref="C50:C79"/>
    <mergeCell ref="D50:D51"/>
    <mergeCell ref="D60:D61"/>
    <mergeCell ref="D62:D63"/>
    <mergeCell ref="D76:D77"/>
    <mergeCell ref="D78:D79"/>
    <mergeCell ref="D68:D69"/>
    <mergeCell ref="D70:D71"/>
    <mergeCell ref="D72:D73"/>
    <mergeCell ref="D74:D75"/>
    <mergeCell ref="D52:D53"/>
    <mergeCell ref="D54:D55"/>
    <mergeCell ref="A11:A79"/>
    <mergeCell ref="B11:B16"/>
    <mergeCell ref="C11:E11"/>
    <mergeCell ref="C12:C16"/>
    <mergeCell ref="D12:E12"/>
    <mergeCell ref="D13:E13"/>
    <mergeCell ref="D14:E14"/>
    <mergeCell ref="D38:D39"/>
    <mergeCell ref="D15:E15"/>
    <mergeCell ref="D16:E16"/>
    <mergeCell ref="B17:B47"/>
    <mergeCell ref="C17:E17"/>
    <mergeCell ref="C18:C47"/>
    <mergeCell ref="D18:D19"/>
    <mergeCell ref="D20:D21"/>
    <mergeCell ref="D22:D23"/>
    <mergeCell ref="A2:A5"/>
    <mergeCell ref="B2:B5"/>
    <mergeCell ref="C2:E5"/>
    <mergeCell ref="F3:J3"/>
    <mergeCell ref="D8:E8"/>
    <mergeCell ref="F2:O2"/>
    <mergeCell ref="A6:A10"/>
    <mergeCell ref="B6:B10"/>
    <mergeCell ref="C6:C10"/>
    <mergeCell ref="D6:E6"/>
    <mergeCell ref="D7:E7"/>
    <mergeCell ref="D9:E9"/>
    <mergeCell ref="D10:E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6ED37-473A-4DE2-B2B4-F67CCA3584C0}">
  <dimension ref="B7:G27"/>
  <sheetViews>
    <sheetView zoomScale="80" zoomScaleNormal="80" workbookViewId="0">
      <selection activeCell="B33" sqref="B33"/>
    </sheetView>
  </sheetViews>
  <sheetFormatPr defaultRowHeight="14.6" x14ac:dyDescent="0.4"/>
  <cols>
    <col min="2" max="2" width="52.23046875" customWidth="1"/>
    <col min="3" max="3" width="10.61328125" customWidth="1"/>
    <col min="4" max="4" width="62.23046875" customWidth="1"/>
    <col min="5" max="5" width="26.23046875" bestFit="1" customWidth="1"/>
    <col min="6" max="6" width="17.07421875" customWidth="1"/>
    <col min="7" max="7" width="30.3828125" customWidth="1"/>
  </cols>
  <sheetData>
    <row r="7" spans="2:7" x14ac:dyDescent="0.4">
      <c r="B7" s="265" t="s">
        <v>145</v>
      </c>
      <c r="C7" s="266"/>
      <c r="D7" s="267"/>
      <c r="E7" s="123" t="s">
        <v>173</v>
      </c>
      <c r="F7" s="122" t="s">
        <v>142</v>
      </c>
      <c r="G7" s="122" t="s">
        <v>144</v>
      </c>
    </row>
    <row r="8" spans="2:7" x14ac:dyDescent="0.4">
      <c r="B8" s="268" t="s">
        <v>140</v>
      </c>
      <c r="C8" s="270" t="s">
        <v>146</v>
      </c>
      <c r="D8" s="131" t="s">
        <v>148</v>
      </c>
      <c r="E8" s="149">
        <v>1.0718202605339409</v>
      </c>
      <c r="F8" s="133">
        <v>95720.966433301655</v>
      </c>
      <c r="G8" s="153">
        <v>0.10130335575443579</v>
      </c>
    </row>
    <row r="9" spans="2:7" x14ac:dyDescent="0.4">
      <c r="B9" s="268"/>
      <c r="C9" s="271"/>
      <c r="D9" s="131" t="s">
        <v>149</v>
      </c>
      <c r="E9" s="149">
        <v>1.2155566110153282</v>
      </c>
      <c r="F9" s="133">
        <v>101449.40366019063</v>
      </c>
      <c r="G9" s="153">
        <v>9.492877970560161E-2</v>
      </c>
    </row>
    <row r="10" spans="2:7" x14ac:dyDescent="0.4">
      <c r="B10" s="268"/>
      <c r="C10" s="272" t="s">
        <v>147</v>
      </c>
      <c r="D10" s="132" t="s">
        <v>153</v>
      </c>
      <c r="E10" s="150">
        <v>1.079831537407415</v>
      </c>
      <c r="F10" s="135">
        <v>96145.506603403439</v>
      </c>
      <c r="G10" s="154">
        <v>0.10100916133096217</v>
      </c>
    </row>
    <row r="11" spans="2:7" x14ac:dyDescent="0.4">
      <c r="B11" s="268"/>
      <c r="C11" s="272"/>
      <c r="D11" s="132" t="s">
        <v>154</v>
      </c>
      <c r="E11" s="150">
        <v>1.0820017711421865</v>
      </c>
      <c r="F11" s="135">
        <v>96145.506603403439</v>
      </c>
      <c r="G11" s="154">
        <v>0.10082317236434851</v>
      </c>
    </row>
    <row r="12" spans="2:7" x14ac:dyDescent="0.4">
      <c r="B12" s="268"/>
      <c r="C12" s="272"/>
      <c r="D12" s="132" t="s">
        <v>155</v>
      </c>
      <c r="E12" s="150">
        <v>1.0824747967257826</v>
      </c>
      <c r="F12" s="135">
        <v>96145.506603403439</v>
      </c>
      <c r="G12" s="154">
        <v>0.10078884465264065</v>
      </c>
    </row>
    <row r="13" spans="2:7" x14ac:dyDescent="0.4">
      <c r="B13" s="268"/>
      <c r="C13" s="272"/>
      <c r="D13" s="132" t="s">
        <v>156</v>
      </c>
      <c r="E13" s="150">
        <v>1.2235678878888023</v>
      </c>
      <c r="F13" s="135">
        <v>101868.38710670768</v>
      </c>
      <c r="G13" s="154">
        <v>9.4704495544500208E-2</v>
      </c>
    </row>
    <row r="14" spans="2:7" x14ac:dyDescent="0.4">
      <c r="B14" s="268"/>
      <c r="C14" s="272"/>
      <c r="D14" s="132" t="s">
        <v>157</v>
      </c>
      <c r="E14" s="150">
        <v>1.2257381216235737</v>
      </c>
      <c r="F14" s="135">
        <v>101868.38710670768</v>
      </c>
      <c r="G14" s="154">
        <v>9.4550152008173044E-2</v>
      </c>
    </row>
    <row r="15" spans="2:7" x14ac:dyDescent="0.4">
      <c r="B15" s="268"/>
      <c r="C15" s="273"/>
      <c r="D15" s="132" t="s">
        <v>158</v>
      </c>
      <c r="E15" s="150">
        <v>1.2262111472071699</v>
      </c>
      <c r="F15" s="135">
        <v>101868.38710670768</v>
      </c>
      <c r="G15" s="154">
        <v>9.4521657894459765E-2</v>
      </c>
    </row>
    <row r="16" spans="2:7" x14ac:dyDescent="0.4">
      <c r="B16" s="268"/>
      <c r="C16" s="274" t="s">
        <v>159</v>
      </c>
      <c r="D16" s="137" t="s">
        <v>150</v>
      </c>
      <c r="E16" s="151">
        <v>1.1035544344159185</v>
      </c>
      <c r="F16" s="139">
        <v>104702.60182492725</v>
      </c>
      <c r="G16" s="155">
        <v>0.10755661751529255</v>
      </c>
    </row>
    <row r="17" spans="2:7" x14ac:dyDescent="0.4">
      <c r="B17" s="268"/>
      <c r="C17" s="274"/>
      <c r="D17" s="137" t="s">
        <v>151</v>
      </c>
      <c r="E17" s="151">
        <v>1.1057246681506898</v>
      </c>
      <c r="F17" s="139">
        <v>104702.60182492725</v>
      </c>
      <c r="G17" s="155">
        <v>0.10736296229976598</v>
      </c>
    </row>
    <row r="18" spans="2:7" x14ac:dyDescent="0.4">
      <c r="B18" s="268"/>
      <c r="C18" s="274"/>
      <c r="D18" s="137" t="s">
        <v>152</v>
      </c>
      <c r="E18" s="151">
        <v>1.1061976937342859</v>
      </c>
      <c r="F18" s="139">
        <v>104702.60182492725</v>
      </c>
      <c r="G18" s="155">
        <v>0.10732721790852323</v>
      </c>
    </row>
    <row r="19" spans="2:7" x14ac:dyDescent="0.4">
      <c r="B19" s="268"/>
      <c r="C19" s="274"/>
      <c r="D19" s="137" t="s">
        <v>153</v>
      </c>
      <c r="E19" s="151">
        <v>1.2472907848973058</v>
      </c>
      <c r="F19" s="139">
        <v>110320.88871527587</v>
      </c>
      <c r="G19" s="155">
        <v>0.10054213043590286</v>
      </c>
    </row>
    <row r="20" spans="2:7" x14ac:dyDescent="0.4">
      <c r="B20" s="268"/>
      <c r="C20" s="274"/>
      <c r="D20" s="137" t="s">
        <v>154</v>
      </c>
      <c r="E20" s="151">
        <v>1.2494610186320769</v>
      </c>
      <c r="F20" s="139">
        <v>110320.88871527587</v>
      </c>
      <c r="G20" s="155">
        <v>0.10038149585485391</v>
      </c>
    </row>
    <row r="21" spans="2:7" x14ac:dyDescent="0.4">
      <c r="B21" s="268"/>
      <c r="C21" s="274"/>
      <c r="D21" s="137" t="s">
        <v>155</v>
      </c>
      <c r="E21" s="151">
        <v>1.2499340442156732</v>
      </c>
      <c r="F21" s="139">
        <v>110320.88871527587</v>
      </c>
      <c r="G21" s="155">
        <v>0.10035183919275059</v>
      </c>
    </row>
    <row r="22" spans="2:7" x14ac:dyDescent="0.4">
      <c r="B22" s="268"/>
      <c r="C22" s="274"/>
      <c r="D22" s="137" t="s">
        <v>156</v>
      </c>
      <c r="E22" s="151">
        <v>1.3910271353786929</v>
      </c>
      <c r="F22" s="139">
        <v>115877.24021766991</v>
      </c>
      <c r="G22" s="155">
        <v>9.4899231868473197E-2</v>
      </c>
    </row>
    <row r="23" spans="2:7" x14ac:dyDescent="0.4">
      <c r="B23" s="268"/>
      <c r="C23" s="274"/>
      <c r="D23" s="137" t="s">
        <v>157</v>
      </c>
      <c r="E23" s="151">
        <v>1.3931973691134643</v>
      </c>
      <c r="F23" s="139">
        <v>115877.24021766991</v>
      </c>
      <c r="G23" s="155">
        <v>9.4762962503130127E-2</v>
      </c>
    </row>
    <row r="24" spans="2:7" x14ac:dyDescent="0.4">
      <c r="B24" s="269"/>
      <c r="C24" s="274"/>
      <c r="D24" s="137" t="s">
        <v>158</v>
      </c>
      <c r="E24" s="151">
        <v>1.3936703946970603</v>
      </c>
      <c r="F24" s="139">
        <v>115877.24021766991</v>
      </c>
      <c r="G24" s="155">
        <v>9.4737799365115422E-2</v>
      </c>
    </row>
    <row r="25" spans="2:7" x14ac:dyDescent="0.4">
      <c r="B25" s="262" t="s">
        <v>141</v>
      </c>
      <c r="C25" s="263" t="s">
        <v>159</v>
      </c>
      <c r="D25" s="140" t="s">
        <v>156</v>
      </c>
      <c r="E25" s="152">
        <v>1.0200865659443747</v>
      </c>
      <c r="F25" s="141">
        <v>52838.358360607315</v>
      </c>
      <c r="G25" s="156">
        <v>5.9008210430988604E-2</v>
      </c>
    </row>
    <row r="26" spans="2:7" x14ac:dyDescent="0.4">
      <c r="B26" s="262"/>
      <c r="C26" s="263"/>
      <c r="D26" s="140" t="s">
        <v>157</v>
      </c>
      <c r="E26" s="152">
        <v>1.0216780706832072</v>
      </c>
      <c r="F26" s="141">
        <v>52838.358360607315</v>
      </c>
      <c r="G26" s="156">
        <v>5.8923478329082797E-2</v>
      </c>
    </row>
    <row r="27" spans="2:7" x14ac:dyDescent="0.4">
      <c r="B27" s="262"/>
      <c r="C27" s="264"/>
      <c r="D27" s="140" t="s">
        <v>158</v>
      </c>
      <c r="E27" s="152">
        <v>1.0220249561111776</v>
      </c>
      <c r="F27" s="141">
        <v>52838.358360607315</v>
      </c>
      <c r="G27" s="156">
        <v>5.8907831924851266E-2</v>
      </c>
    </row>
  </sheetData>
  <mergeCells count="7">
    <mergeCell ref="B25:B27"/>
    <mergeCell ref="C25:C27"/>
    <mergeCell ref="B7:D7"/>
    <mergeCell ref="B8:B24"/>
    <mergeCell ref="C8:C9"/>
    <mergeCell ref="C10:C15"/>
    <mergeCell ref="C16:C24"/>
  </mergeCells>
  <phoneticPr fontId="16"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79AFA-5A01-44F6-90ED-C4516FB59726}">
  <dimension ref="C11:G47"/>
  <sheetViews>
    <sheetView tabSelected="1" topLeftCell="B31" zoomScale="90" zoomScaleNormal="90" workbookViewId="0">
      <selection activeCell="G73" sqref="G73"/>
    </sheetView>
  </sheetViews>
  <sheetFormatPr defaultRowHeight="14.6" x14ac:dyDescent="0.4"/>
  <cols>
    <col min="3" max="3" width="49.765625" bestFit="1" customWidth="1"/>
    <col min="4" max="4" width="51.61328125" bestFit="1" customWidth="1"/>
    <col min="5" max="5" width="27.15234375" bestFit="1" customWidth="1"/>
    <col min="6" max="6" width="15.3046875" customWidth="1"/>
    <col min="7" max="7" width="26.61328125" customWidth="1"/>
  </cols>
  <sheetData>
    <row r="11" spans="3:7" x14ac:dyDescent="0.4">
      <c r="E11" s="1"/>
      <c r="F11" s="1"/>
      <c r="G11" s="1"/>
    </row>
    <row r="12" spans="3:7" x14ac:dyDescent="0.4">
      <c r="C12" s="157"/>
      <c r="D12" s="158"/>
      <c r="E12" s="159"/>
      <c r="F12" s="160"/>
      <c r="G12" s="161"/>
    </row>
    <row r="13" spans="3:7" x14ac:dyDescent="0.4">
      <c r="C13" s="157"/>
      <c r="D13" s="158"/>
      <c r="E13" s="159"/>
      <c r="F13" s="160"/>
      <c r="G13" s="161"/>
    </row>
    <row r="14" spans="3:7" x14ac:dyDescent="0.4">
      <c r="C14" s="162"/>
      <c r="D14" s="163"/>
      <c r="E14" s="164"/>
      <c r="F14" s="165"/>
      <c r="G14" s="166"/>
    </row>
    <row r="15" spans="3:7" x14ac:dyDescent="0.4">
      <c r="C15" s="162"/>
      <c r="D15" s="163"/>
      <c r="E15" s="164"/>
      <c r="F15" s="165"/>
      <c r="G15" s="166"/>
    </row>
    <row r="16" spans="3:7" x14ac:dyDescent="0.4">
      <c r="C16" s="162"/>
      <c r="D16" s="163"/>
      <c r="E16" s="164"/>
      <c r="F16" s="165"/>
      <c r="G16" s="166"/>
    </row>
    <row r="17" spans="3:7" x14ac:dyDescent="0.4">
      <c r="C17" s="162"/>
      <c r="D17" s="163"/>
      <c r="E17" s="164"/>
      <c r="F17" s="165"/>
      <c r="G17" s="166"/>
    </row>
    <row r="18" spans="3:7" x14ac:dyDescent="0.4">
      <c r="C18" s="162"/>
      <c r="D18" s="163"/>
      <c r="E18" s="164"/>
      <c r="F18" s="165"/>
      <c r="G18" s="166"/>
    </row>
    <row r="19" spans="3:7" x14ac:dyDescent="0.4">
      <c r="C19" s="162"/>
      <c r="D19" s="163"/>
      <c r="E19" s="164"/>
      <c r="F19" s="165"/>
      <c r="G19" s="166"/>
    </row>
    <row r="20" spans="3:7" x14ac:dyDescent="0.4">
      <c r="C20" s="167"/>
      <c r="D20" s="168"/>
      <c r="E20" s="169"/>
      <c r="F20" s="170"/>
      <c r="G20" s="171"/>
    </row>
    <row r="21" spans="3:7" x14ac:dyDescent="0.4">
      <c r="C21" s="167"/>
      <c r="D21" s="168"/>
      <c r="E21" s="169"/>
      <c r="F21" s="170"/>
      <c r="G21" s="171"/>
    </row>
    <row r="22" spans="3:7" x14ac:dyDescent="0.4">
      <c r="C22" s="167"/>
      <c r="D22" s="168"/>
      <c r="E22" s="169"/>
      <c r="F22" s="170"/>
      <c r="G22" s="171"/>
    </row>
    <row r="23" spans="3:7" x14ac:dyDescent="0.4">
      <c r="C23" s="167"/>
      <c r="D23" s="168"/>
      <c r="E23" s="169"/>
      <c r="F23" s="170"/>
      <c r="G23" s="171"/>
    </row>
    <row r="24" spans="3:7" x14ac:dyDescent="0.4">
      <c r="C24" s="167"/>
      <c r="D24" s="168"/>
      <c r="E24" s="169"/>
      <c r="F24" s="170"/>
      <c r="G24" s="171"/>
    </row>
    <row r="25" spans="3:7" x14ac:dyDescent="0.4">
      <c r="C25" s="167"/>
      <c r="D25" s="168"/>
      <c r="E25" s="169"/>
      <c r="F25" s="170"/>
      <c r="G25" s="171"/>
    </row>
    <row r="26" spans="3:7" x14ac:dyDescent="0.4">
      <c r="C26" s="167"/>
      <c r="D26" s="168"/>
      <c r="E26" s="169"/>
      <c r="F26" s="170"/>
      <c r="G26" s="171"/>
    </row>
    <row r="27" spans="3:7" x14ac:dyDescent="0.4">
      <c r="C27" s="167"/>
      <c r="D27" s="168"/>
      <c r="E27" s="169"/>
      <c r="F27" s="170"/>
      <c r="G27" s="171"/>
    </row>
    <row r="28" spans="3:7" x14ac:dyDescent="0.4">
      <c r="C28" s="167"/>
      <c r="D28" s="168"/>
      <c r="E28" s="169"/>
      <c r="F28" s="170"/>
      <c r="G28" s="171"/>
    </row>
    <row r="29" spans="3:7" x14ac:dyDescent="0.4">
      <c r="C29" s="172"/>
      <c r="D29" s="173"/>
      <c r="E29" s="174"/>
      <c r="F29" s="175"/>
      <c r="G29" s="176"/>
    </row>
    <row r="30" spans="3:7" x14ac:dyDescent="0.4">
      <c r="C30" s="172"/>
      <c r="D30" s="173"/>
      <c r="E30" s="174"/>
      <c r="F30" s="175"/>
      <c r="G30" s="176"/>
    </row>
    <row r="31" spans="3:7" x14ac:dyDescent="0.4">
      <c r="C31" s="172"/>
      <c r="D31" s="173"/>
      <c r="E31" s="174"/>
      <c r="F31" s="175"/>
      <c r="G31" s="176"/>
    </row>
    <row r="39" spans="3:5" x14ac:dyDescent="0.4">
      <c r="C39" s="177" t="s">
        <v>169</v>
      </c>
      <c r="D39" s="122" t="s">
        <v>142</v>
      </c>
      <c r="E39" s="122" t="s">
        <v>143</v>
      </c>
    </row>
    <row r="40" spans="3:5" x14ac:dyDescent="0.4">
      <c r="C40" s="131" t="s">
        <v>174</v>
      </c>
      <c r="D40" s="133">
        <v>95720.966433301655</v>
      </c>
      <c r="E40" s="134">
        <v>0.10130335575443579</v>
      </c>
    </row>
    <row r="41" spans="3:5" x14ac:dyDescent="0.4">
      <c r="C41" s="131" t="s">
        <v>175</v>
      </c>
      <c r="D41" s="133">
        <v>101449.40366019063</v>
      </c>
      <c r="E41" s="134">
        <v>9.492877970560161E-2</v>
      </c>
    </row>
    <row r="42" spans="3:5" x14ac:dyDescent="0.4">
      <c r="C42" s="132" t="s">
        <v>176</v>
      </c>
      <c r="D42" s="135">
        <v>96145.506603403439</v>
      </c>
      <c r="E42" s="136">
        <v>0.10078884465264065</v>
      </c>
    </row>
    <row r="43" spans="3:5" x14ac:dyDescent="0.4">
      <c r="C43" s="132" t="s">
        <v>177</v>
      </c>
      <c r="D43" s="135">
        <v>101868.38710670768</v>
      </c>
      <c r="E43" s="136">
        <v>9.4521657894459765E-2</v>
      </c>
    </row>
    <row r="44" spans="3:5" x14ac:dyDescent="0.4">
      <c r="C44" s="137" t="s">
        <v>178</v>
      </c>
      <c r="D44" s="139">
        <v>104702.60182492725</v>
      </c>
      <c r="E44" s="138">
        <v>0.10732721790852323</v>
      </c>
    </row>
    <row r="45" spans="3:5" x14ac:dyDescent="0.4">
      <c r="C45" s="137" t="s">
        <v>179</v>
      </c>
      <c r="D45" s="139">
        <v>110320.88871527587</v>
      </c>
      <c r="E45" s="138">
        <v>0.10035183919275059</v>
      </c>
    </row>
    <row r="46" spans="3:5" x14ac:dyDescent="0.4">
      <c r="C46" s="137" t="s">
        <v>180</v>
      </c>
      <c r="D46" s="139">
        <v>115877.24021766991</v>
      </c>
      <c r="E46" s="138">
        <v>9.4737799365115422E-2</v>
      </c>
    </row>
    <row r="47" spans="3:5" x14ac:dyDescent="0.4">
      <c r="C47" s="140" t="s">
        <v>181</v>
      </c>
      <c r="D47" s="141">
        <v>52838.358360607315</v>
      </c>
      <c r="E47" s="142">
        <v>5.8907831924851266E-2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ESOLinput (June to August)</vt:lpstr>
      <vt:lpstr>ESCOOLout</vt:lpstr>
      <vt:lpstr>Costs-Solar Collection Devices</vt:lpstr>
      <vt:lpstr>Costs- Chillers </vt:lpstr>
      <vt:lpstr>Total LCC(AW) &amp; LCOC for All </vt:lpstr>
      <vt:lpstr>Key results </vt:lpstr>
      <vt:lpstr>Summary Charts of Key 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Hamza Hamida</dc:creator>
  <cp:lastModifiedBy>Hamza Hamida</cp:lastModifiedBy>
  <dcterms:created xsi:type="dcterms:W3CDTF">2015-06-05T18:17:20Z</dcterms:created>
  <dcterms:modified xsi:type="dcterms:W3CDTF">2025-02-08T15:01:43Z</dcterms:modified>
</cp:coreProperties>
</file>