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annabelbroer_tudelft_nl/Documents/PhD TUD/Writing/LaTeX/Projects/PEMFC degradation review/Submission Journal of Power Sources/RevisionManuscriptTexFiles/"/>
    </mc:Choice>
  </mc:AlternateContent>
  <xr:revisionPtr revIDLastSave="3292" documentId="11_1AEFCDA56DA59FCFDCEEA6B54C9270EDA7BE6B40" xr6:coauthVersionLast="47" xr6:coauthVersionMax="47" xr10:uidLastSave="{E6C61034-A99F-4602-9D4D-126C83EF2733}"/>
  <bookViews>
    <workbookView xWindow="-110" yWindow="-110" windowWidth="19420" windowHeight="10420" xr2:uid="{0088DF1F-351B-4652-B7DA-FFACE639A198}"/>
  </bookViews>
  <sheets>
    <sheet name="Concentr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1" l="1"/>
  <c r="K26" i="1"/>
  <c r="A38" i="1"/>
  <c r="F6" i="1"/>
  <c r="T33" i="1"/>
  <c r="P10" i="1"/>
  <c r="Q16" i="1"/>
  <c r="K23" i="1" l="1"/>
  <c r="K22" i="1"/>
  <c r="K21" i="1"/>
  <c r="K20" i="1"/>
  <c r="I23" i="1"/>
  <c r="E21" i="1"/>
  <c r="E22" i="1"/>
  <c r="E23" i="1"/>
  <c r="E20" i="1"/>
  <c r="J20" i="1"/>
  <c r="I21" i="1" l="1"/>
  <c r="P41" i="1"/>
  <c r="R41" i="1" s="1"/>
  <c r="P37" i="1"/>
  <c r="M44" i="1" l="1"/>
  <c r="M45" i="1" s="1"/>
  <c r="M46" i="1" s="1"/>
  <c r="M47" i="1" s="1"/>
  <c r="Q44" i="1"/>
  <c r="Q45" i="1" s="1"/>
  <c r="Q46" i="1" s="1"/>
  <c r="Q47" i="1" s="1"/>
  <c r="F20" i="1" l="1"/>
  <c r="F21" i="1"/>
  <c r="F22" i="1"/>
  <c r="Q48" i="1"/>
  <c r="F23" i="1"/>
  <c r="M48" i="1"/>
  <c r="D42" i="1"/>
  <c r="P15" i="1"/>
  <c r="Q15" i="1"/>
  <c r="R15" i="1" s="1"/>
  <c r="D41" i="1"/>
  <c r="I40" i="1"/>
  <c r="K32" i="1" s="1"/>
  <c r="I37" i="1"/>
  <c r="I42" i="1" s="1"/>
  <c r="I44" i="1" s="1"/>
  <c r="I46" i="1" s="1"/>
  <c r="I48" i="1" l="1"/>
  <c r="I49" i="1" s="1"/>
  <c r="I51" i="1"/>
  <c r="I52" i="1" s="1"/>
  <c r="Q50" i="1"/>
  <c r="Q22" i="1" s="1"/>
  <c r="R22" i="1" s="1"/>
  <c r="Q51" i="1"/>
  <c r="Q23" i="1" s="1"/>
  <c r="R23" i="1" s="1"/>
  <c r="M50" i="1"/>
  <c r="Q20" i="1" s="1"/>
  <c r="M51" i="1"/>
  <c r="D39" i="1"/>
  <c r="E50" i="1" s="1"/>
  <c r="I53" i="1" l="1"/>
  <c r="I54" i="1" s="1"/>
  <c r="R20" i="1"/>
  <c r="Q21" i="1"/>
  <c r="R21" i="1" s="1"/>
  <c r="F49" i="1"/>
  <c r="V33" i="1"/>
  <c r="V32" i="1"/>
  <c r="F18" i="1"/>
  <c r="G18" i="1" s="1"/>
  <c r="Q18" i="1" s="1"/>
  <c r="V16" i="1"/>
  <c r="G13" i="1"/>
  <c r="Q13" i="1" s="1"/>
  <c r="R13" i="1" s="1"/>
  <c r="Q31" i="1" l="1"/>
  <c r="Q32" i="1"/>
  <c r="O32" i="1"/>
  <c r="N32" i="1" s="1"/>
  <c r="D14" i="1"/>
  <c r="I12" i="1"/>
  <c r="G12" i="1"/>
  <c r="J7" i="1"/>
  <c r="K25" i="1" l="1"/>
  <c r="K28" i="1" s="1"/>
  <c r="I25" i="1"/>
  <c r="E25" i="1"/>
  <c r="I24" i="1"/>
  <c r="F24" i="1"/>
  <c r="G24" i="1" s="1"/>
  <c r="Q24" i="1" s="1"/>
  <c r="I22" i="1"/>
  <c r="P11" i="1"/>
  <c r="R24" i="1" l="1"/>
  <c r="L24" i="1"/>
  <c r="M24" i="1" s="1"/>
  <c r="N24" i="1"/>
  <c r="O24" i="1" s="1"/>
  <c r="P24" i="1" s="1"/>
  <c r="I16" i="1" l="1"/>
  <c r="G9" i="1"/>
  <c r="G8" i="1"/>
  <c r="N26" i="1" l="1"/>
  <c r="O26" i="1" s="1"/>
  <c r="L26" i="1"/>
  <c r="I26" i="1"/>
  <c r="J19" i="1"/>
  <c r="F19" i="1"/>
  <c r="G19" i="1" s="1"/>
  <c r="Q19" i="1" l="1"/>
  <c r="R19" i="1" s="1"/>
  <c r="L19" i="1"/>
  <c r="M19" i="1" s="1"/>
  <c r="N19" i="1"/>
  <c r="O19" i="1" s="1"/>
  <c r="P19" i="1" s="1"/>
  <c r="M26" i="1"/>
  <c r="P26" i="1"/>
  <c r="J18" i="1"/>
  <c r="R18" i="1" s="1"/>
  <c r="L18" i="1" l="1"/>
  <c r="M18" i="1" s="1"/>
  <c r="N18" i="1"/>
  <c r="O18" i="1" s="1"/>
  <c r="P18" i="1" s="1"/>
  <c r="G7" i="1"/>
  <c r="J16" i="1"/>
  <c r="T15" i="1"/>
  <c r="I5" i="1"/>
  <c r="F5" i="1"/>
  <c r="G5" i="1" s="1"/>
  <c r="F14" i="1"/>
  <c r="G14" i="1" s="1"/>
  <c r="Q14" i="1" s="1"/>
  <c r="L16" i="1" l="1"/>
  <c r="M16" i="1" s="1"/>
  <c r="R16" i="1"/>
  <c r="R14" i="1"/>
  <c r="L14" i="1"/>
  <c r="N14" i="1"/>
  <c r="D5" i="1"/>
  <c r="D6" i="1"/>
  <c r="I6" i="1"/>
  <c r="G6" i="1"/>
  <c r="N5" i="1" l="1"/>
  <c r="O5" i="1" s="1"/>
  <c r="P5" i="1" s="1"/>
  <c r="N6" i="1"/>
  <c r="O6" i="1" s="1"/>
  <c r="P6" i="1" s="1"/>
  <c r="L5" i="1"/>
  <c r="M5" i="1" s="1"/>
  <c r="L6" i="1"/>
  <c r="M6" i="1" s="1"/>
  <c r="O14" i="1"/>
  <c r="P14" i="1" s="1"/>
  <c r="M14" i="1"/>
  <c r="I15" i="1"/>
  <c r="J9" i="1"/>
  <c r="J8" i="1"/>
  <c r="I7" i="1" l="1"/>
  <c r="I8" i="1"/>
  <c r="I9" i="1"/>
  <c r="D40" i="1"/>
  <c r="D44" i="1" l="1"/>
  <c r="Q5" i="1" s="1"/>
  <c r="R5" i="1" s="1"/>
  <c r="I13" i="1"/>
  <c r="I28" i="1" s="1"/>
  <c r="N13" i="1"/>
  <c r="J17" i="1"/>
  <c r="J28" i="1" s="1"/>
  <c r="F17" i="1"/>
  <c r="D45" i="1" l="1"/>
  <c r="F51" i="1" s="1"/>
  <c r="Q6" i="1"/>
  <c r="R6" i="1" s="1"/>
  <c r="F28" i="1"/>
  <c r="E13" i="1"/>
  <c r="N16" i="1"/>
  <c r="E17" i="1"/>
  <c r="G17" i="1"/>
  <c r="Q17" i="1" s="1"/>
  <c r="Q28" i="1" s="1"/>
  <c r="X4" i="1" s="1"/>
  <c r="E19" i="1"/>
  <c r="E18" i="1"/>
  <c r="E15" i="1"/>
  <c r="L13" i="1"/>
  <c r="O13" i="1"/>
  <c r="P13" i="1" s="1"/>
  <c r="E4" i="1" l="1"/>
  <c r="E5" i="1"/>
  <c r="E52" i="1"/>
  <c r="D8" i="1" s="1"/>
  <c r="Q8" i="1" s="1"/>
  <c r="R8" i="1" s="1"/>
  <c r="R17" i="1"/>
  <c r="L17" i="1"/>
  <c r="M17" i="1" s="1"/>
  <c r="G28" i="1"/>
  <c r="E24" i="1"/>
  <c r="D25" i="1"/>
  <c r="L25" i="1" s="1"/>
  <c r="M25" i="1" s="1"/>
  <c r="N17" i="1"/>
  <c r="O17" i="1" s="1"/>
  <c r="P17" i="1" s="1"/>
  <c r="E14" i="1"/>
  <c r="E6" i="1"/>
  <c r="O16" i="1"/>
  <c r="P16" i="1" s="1"/>
  <c r="P28" i="1" s="1"/>
  <c r="M13" i="1"/>
  <c r="D10" i="1" l="1"/>
  <c r="Q10" i="1" s="1"/>
  <c r="R10" i="1" s="1"/>
  <c r="D7" i="1"/>
  <c r="Q7" i="1" s="1"/>
  <c r="R7" i="1" s="1"/>
  <c r="D9" i="1"/>
  <c r="L9" i="1" s="1"/>
  <c r="D11" i="1"/>
  <c r="L11" i="1" s="1"/>
  <c r="M11" i="1" s="1"/>
  <c r="D12" i="1"/>
  <c r="Q12" i="1" s="1"/>
  <c r="R12" i="1" s="1"/>
  <c r="R28" i="1"/>
  <c r="Q11" i="1"/>
  <c r="R11" i="1" s="1"/>
  <c r="N9" i="1"/>
  <c r="O9" i="1" s="1"/>
  <c r="P9" i="1" s="1"/>
  <c r="D28" i="1"/>
  <c r="E28" i="1"/>
  <c r="L7" i="1"/>
  <c r="M7" i="1" s="1"/>
  <c r="N8" i="1"/>
  <c r="O8" i="1" s="1"/>
  <c r="P8" i="1" s="1"/>
  <c r="L8" i="1"/>
  <c r="M8" i="1" s="1"/>
  <c r="M9" i="1"/>
  <c r="L10" i="1"/>
  <c r="M10" i="1" s="1"/>
  <c r="N7" i="1" l="1"/>
  <c r="O7" i="1" s="1"/>
  <c r="P7" i="1" s="1"/>
  <c r="L12" i="1"/>
  <c r="M12" i="1" s="1"/>
  <c r="N12" i="1"/>
  <c r="O12" i="1" s="1"/>
  <c r="P12" i="1" s="1"/>
  <c r="Q9" i="1"/>
  <c r="R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Annabel Broer</author>
    <author>tc={F07E496A-9493-47AC-95A4-DD5F2921CE7F}</author>
  </authors>
  <commentList>
    <comment ref="M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Normalized to cell surface area</t>
        </r>
      </text>
    </comment>
    <comment ref="R3" authorId="0" shapeId="0" xr:uid="{E4C7D89D-09B5-40AC-81F4-566333234614}">
      <text>
        <r>
          <rPr>
            <b/>
            <sz val="9"/>
            <color indexed="81"/>
            <rFont val="Tahoma"/>
            <charset val="1"/>
          </rPr>
          <t>Annabel Broer:</t>
        </r>
        <r>
          <rPr>
            <sz val="9"/>
            <color indexed="81"/>
            <rFont val="Tahoma"/>
            <charset val="1"/>
          </rPr>
          <t xml:space="preserve">
For stacks, surface area here is total surface area, not cell surface area</t>
        </r>
      </text>
    </comment>
    <comment ref="A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low = 500ppm
high = 2000ppm</t>
        </r>
      </text>
    </comment>
    <comment ref="D1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20 μM</t>
        </r>
      </text>
    </comment>
    <comment ref="F1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Averaged as anode (0.49) and cathode (1.17) had different flow rates</t>
        </r>
      </text>
    </comment>
    <comment ref="D1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Should still be adapted based on vapour pressure calculations?</t>
        </r>
      </text>
    </comment>
    <comment ref="E20" authorId="0" shapeId="0" xr:uid="{9B3245DC-AA9A-413A-8881-E5F1A9269179}">
      <text>
        <r>
          <rPr>
            <b/>
            <sz val="9"/>
            <color indexed="81"/>
            <rFont val="Tahoma"/>
            <charset val="1"/>
          </rPr>
          <t>Annabel Broer:</t>
        </r>
        <r>
          <rPr>
            <sz val="9"/>
            <color indexed="81"/>
            <rFont val="Tahoma"/>
            <charset val="1"/>
          </rPr>
          <t xml:space="preserve">
Mass ppm in </t>
        </r>
        <r>
          <rPr>
            <b/>
            <sz val="9"/>
            <color indexed="81"/>
            <rFont val="Tahoma"/>
            <family val="2"/>
          </rPr>
          <t xml:space="preserve">AIR </t>
        </r>
        <r>
          <rPr>
            <sz val="9"/>
            <color indexed="81"/>
            <rFont val="Tahoma"/>
            <family val="2"/>
          </rPr>
          <t>(not solution)</t>
        </r>
        <r>
          <rPr>
            <sz val="9"/>
            <color indexed="81"/>
            <rFont val="Tahoma"/>
            <charset val="1"/>
          </rPr>
          <t xml:space="preserve">
/1000 to turn mg/m3 into ug/m3
Cpp = C(salt in ug/m3) / densityAir (in g/m3)</t>
        </r>
      </text>
    </comment>
    <comment ref="F20" authorId="0" shapeId="0" xr:uid="{4DA09914-1EF8-475B-8B8A-8CC20DE491F7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This is </t>
        </r>
        <r>
          <rPr>
            <b/>
            <sz val="9"/>
            <color indexed="81"/>
            <rFont val="Tahoma"/>
            <family val="2"/>
          </rPr>
          <t>AIR</t>
        </r>
        <r>
          <rPr>
            <sz val="9"/>
            <color indexed="81"/>
            <rFont val="Tahoma"/>
            <family val="2"/>
          </rPr>
          <t xml:space="preserve"> flow</t>
        </r>
      </text>
    </comment>
    <comment ref="F21" authorId="0" shapeId="0" xr:uid="{B24AFA3A-3A82-457D-8A5A-F722DA743288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This is </t>
        </r>
        <r>
          <rPr>
            <b/>
            <sz val="9"/>
            <color indexed="81"/>
            <rFont val="Tahoma"/>
            <family val="2"/>
          </rPr>
          <t>AIR</t>
        </r>
        <r>
          <rPr>
            <sz val="9"/>
            <color indexed="81"/>
            <rFont val="Tahoma"/>
            <family val="2"/>
          </rPr>
          <t xml:space="preserve"> flow</t>
        </r>
      </text>
    </comment>
    <comment ref="F22" authorId="0" shapeId="0" xr:uid="{F338C7F9-9FC2-42BA-865D-B85F1D48E98F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This is </t>
        </r>
        <r>
          <rPr>
            <b/>
            <sz val="9"/>
            <color indexed="81"/>
            <rFont val="Tahoma"/>
            <family val="2"/>
          </rPr>
          <t>AIR</t>
        </r>
        <r>
          <rPr>
            <sz val="9"/>
            <color indexed="81"/>
            <rFont val="Tahoma"/>
            <family val="2"/>
          </rPr>
          <t xml:space="preserve"> flow</t>
        </r>
      </text>
    </comment>
    <comment ref="E23" authorId="0" shapeId="0" xr:uid="{F8CE50AF-D099-45D9-B638-1234867C639F}">
      <text>
        <r>
          <rPr>
            <b/>
            <sz val="9"/>
            <color indexed="81"/>
            <rFont val="Tahoma"/>
            <charset val="1"/>
          </rPr>
          <t>Annabel Broer:</t>
        </r>
        <r>
          <rPr>
            <sz val="9"/>
            <color indexed="81"/>
            <rFont val="Tahoma"/>
            <charset val="1"/>
          </rPr>
          <t xml:space="preserve">
SALT IN </t>
        </r>
        <r>
          <rPr>
            <b/>
            <sz val="9"/>
            <color indexed="81"/>
            <rFont val="Tahoma"/>
            <family val="2"/>
          </rPr>
          <t>AIR</t>
        </r>
        <r>
          <rPr>
            <sz val="9"/>
            <color indexed="81"/>
            <rFont val="Tahoma"/>
            <charset val="1"/>
          </rPr>
          <t xml:space="preserve">
/1000 to turn mg/m3 into ug/m3
Cpp = C(salt in ug/m3) / densityAir (in g/m3)</t>
        </r>
      </text>
    </comment>
    <comment ref="F23" authorId="0" shapeId="0" xr:uid="{1C1A8A38-D275-4462-A512-7714B47E6189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This is </t>
        </r>
        <r>
          <rPr>
            <b/>
            <sz val="9"/>
            <color indexed="81"/>
            <rFont val="Tahoma"/>
            <family val="2"/>
          </rPr>
          <t>AIR</t>
        </r>
        <r>
          <rPr>
            <sz val="9"/>
            <color indexed="81"/>
            <rFont val="Tahoma"/>
            <family val="2"/>
          </rPr>
          <t xml:space="preserve"> flow</t>
        </r>
      </text>
    </comment>
    <comment ref="F24" authorId="0" shapeId="0" xr:uid="{942929E1-1E42-467D-9CFB-E3E02C0207DE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From uL/min to ml/min</t>
        </r>
      </text>
    </comment>
    <comment ref="J24" authorId="0" shapeId="0" xr:uid="{76EA3307-AC53-40D7-B982-F3FE3D14517D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also 5 and 15 hours</t>
        </r>
      </text>
    </comment>
    <comment ref="T32" authorId="0" shapeId="0" xr:uid="{D9B795E3-A82D-4605-A611-F56810E1AF9F}">
      <text>
        <r>
          <rPr>
            <b/>
            <sz val="9"/>
            <color indexed="81"/>
            <rFont val="Tahoma"/>
            <charset val="1"/>
          </rPr>
          <t>Annabel Broer:</t>
        </r>
        <r>
          <rPr>
            <sz val="9"/>
            <color indexed="81"/>
            <rFont val="Tahoma"/>
            <charset val="1"/>
          </rPr>
          <t xml:space="preserve">
Concentration from source - salt in air</t>
        </r>
      </text>
    </comment>
    <comment ref="V32" authorId="0" shapeId="0" xr:uid="{E43C32EF-BC25-44D7-8D9A-8820782633B9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From μg/m3 to ppm
1. Go to weight based fraction NaCl/Air
a. μg/m3 * 10E-6 &gt; g/m3 (g salt / m3 air)
b. Divide by density air, given in unit g/m3 &gt; g{salt} / g{air}
2. Go to ppm
a. g{salt} / g{air} * 10E6</t>
        </r>
      </text>
    </comment>
    <comment ref="V33" authorId="0" shapeId="0" xr:uid="{340CB5E6-9BA2-47E4-8CA7-0259EFC88468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1 μg = 1/1000 mg
1 m3 =10*10*10 dm3 
1dm3 = 1/1000 m3
1 μg/m3 = 1/1000/1000 mg/dm3</t>
        </r>
      </text>
    </comment>
    <comment ref="A37" authorId="0" shapeId="0" xr:uid="{38B0F2FF-443C-4E67-9E47-DE478663DF0C}">
      <text>
        <r>
          <rPr>
            <b/>
            <sz val="9"/>
            <color indexed="81"/>
            <rFont val="Tahoma"/>
            <charset val="1"/>
          </rPr>
          <t>Annabel Broer:</t>
        </r>
        <r>
          <rPr>
            <sz val="9"/>
            <color indexed="81"/>
            <rFont val="Tahoma"/>
            <charset val="1"/>
          </rPr>
          <t xml:space="preserve">
At 20C and atmospheric pressure
https://en.wikipedia.org/wiki/Density_of_air</t>
        </r>
      </text>
    </comment>
    <comment ref="M38" authorId="0" shapeId="0" xr:uid="{BE7ABB4D-26A4-4608-A9BF-A4520C0962A3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"five cells with MEA type 2 of 220 cm2"</t>
        </r>
      </text>
    </comment>
    <comment ref="H39" authorId="0" shapeId="0" xr:uid="{206C67B1-4E35-4DE5-A19D-0105FFBCB731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Max current based on Zahner Zennium X + Load = max current of 200 A</t>
        </r>
      </text>
    </comment>
    <comment ref="I45" authorId="0" shapeId="0" xr:uid="{7329D75C-9E20-4CF1-9F92-F14E8E3FC40D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 “Fuel cell systems explained” by Larminie (2003) refers to 2 as standad air stoich</t>
        </r>
      </text>
    </comment>
    <comment ref="H47" authorId="0" shapeId="0" xr:uid="{60CAEE60-9E8E-4050-BC7A-7012B5D7735E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Normal liter / min (nl/min) is defined at 0C and 1 atm
https://en.wikipedia.org/wiki/Molar_volume
https://jackwestin.com/resources/mcat-content/gas-phase/molar-volume-at-0c-and-1-atm-22-4-l-mol-2
https://socratic.org/chemistry/the-behavior-of-gases/molar-volume-of-a-gas-224-l-at-stp</t>
        </r>
      </text>
    </comment>
    <comment ref="H50" authorId="0" shapeId="0" xr:uid="{9A674666-D2C8-4B78-B1F0-8C00D2E69D39}">
      <text>
        <r>
          <rPr>
            <b/>
            <sz val="9"/>
            <color indexed="81"/>
            <rFont val="Tahoma"/>
            <family val="2"/>
          </rPr>
          <t>Annabel Broer:</t>
        </r>
        <r>
          <rPr>
            <sz val="9"/>
            <color indexed="81"/>
            <rFont val="Tahoma"/>
            <family val="2"/>
          </rPr>
          <t xml:space="preserve">
Sometimes refered to as standard liter per minute, volume at 20C and 1 atm
https://en.wikipedia.org/wiki/Molar_volume
https://planetcalc.com/7918/
https://www.bronkhorst.com/int/service-support-1/faq/flow-theory/what-does-bronkhorst-mean-by-ln-min-or-ls-min/</t>
        </r>
      </text>
    </comment>
    <comment ref="D54" authorId="1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https://www.thoughtco.com/convert-molarity-to-parts-per-million-problem-609470
Reply:
    For gas ppm, 1 ppm indicates that 1 mol of contaminants is present in 1E6 mol gas (usually air). Sources:
https://teesing.com/en/tools/ppm-mg3-converter#mgm3-ppm
https://www.co2meter.com/blogs/news/co2-ppm?srsltid=AfmBOop0NPe9hsFF1koOZhJBbqzKF-bDV1h4k8OECIY_pNuVRHXZSin4</t>
      </text>
    </comment>
  </commentList>
</comments>
</file>

<file path=xl/sharedStrings.xml><?xml version="1.0" encoding="utf-8"?>
<sst xmlns="http://schemas.openxmlformats.org/spreadsheetml/2006/main" count="277" uniqueCount="147">
  <si>
    <t>ml/min</t>
  </si>
  <si>
    <t>mol/min</t>
  </si>
  <si>
    <t>g/mol</t>
  </si>
  <si>
    <t>NaCl</t>
  </si>
  <si>
    <t>ppm</t>
  </si>
  <si>
    <t>mol/L (=M)</t>
  </si>
  <si>
    <t>mg/mol</t>
  </si>
  <si>
    <t>From M to ppm NaCl</t>
  </si>
  <si>
    <t>From ppm to M NaCl</t>
  </si>
  <si>
    <t>min</t>
  </si>
  <si>
    <t>L/h</t>
  </si>
  <si>
    <t>h</t>
  </si>
  <si>
    <t>mol</t>
  </si>
  <si>
    <t>Mikkola</t>
  </si>
  <si>
    <t>Schmidt</t>
  </si>
  <si>
    <t>HCl</t>
  </si>
  <si>
    <t>Volume (static)</t>
  </si>
  <si>
    <t>L</t>
  </si>
  <si>
    <t>Matsuoka</t>
  </si>
  <si>
    <t>Steinbach</t>
  </si>
  <si>
    <t>N/A</t>
  </si>
  <si>
    <t>mmol/min</t>
  </si>
  <si>
    <t>Molar flow</t>
  </si>
  <si>
    <t>mol/cm2</t>
  </si>
  <si>
    <t>Size electrode</t>
  </si>
  <si>
    <t>cm2</t>
  </si>
  <si>
    <t>Lam_1</t>
  </si>
  <si>
    <t>Lam_2</t>
  </si>
  <si>
    <t>Sasank</t>
  </si>
  <si>
    <t>Uemea</t>
  </si>
  <si>
    <t>Kitahara</t>
  </si>
  <si>
    <t>mol/g</t>
  </si>
  <si>
    <t>g/cm2</t>
  </si>
  <si>
    <t>Li_1</t>
  </si>
  <si>
    <t>Li_2</t>
  </si>
  <si>
    <t>Li_3</t>
  </si>
  <si>
    <t>From M to ppm HCl</t>
  </si>
  <si>
    <t>From ppm to M HCl</t>
  </si>
  <si>
    <t>Unk</t>
  </si>
  <si>
    <t>N.i.</t>
  </si>
  <si>
    <t>Total Contaminant</t>
  </si>
  <si>
    <t>Duration 
contamination test</t>
  </si>
  <si>
    <t>1 ccm = 1 ml</t>
  </si>
  <si>
    <t>Sea water</t>
  </si>
  <si>
    <t xml:space="preserve">HCl </t>
  </si>
  <si>
    <t>Park .6V</t>
  </si>
  <si>
    <t>Park .9V</t>
  </si>
  <si>
    <t>hour</t>
  </si>
  <si>
    <t>mmol/min/cm2</t>
  </si>
  <si>
    <t>Reference Maranda 3.1</t>
  </si>
  <si>
    <t>SA cell</t>
  </si>
  <si>
    <t>1 ppm = 1 mg X/L solution = 1 g/m3</t>
  </si>
  <si>
    <t>0.01 to 5</t>
  </si>
  <si>
    <t>g/m3</t>
  </si>
  <si>
    <t>Nakajima</t>
  </si>
  <si>
    <t>0.05M at 750 uL/min</t>
  </si>
  <si>
    <t>Madhav</t>
  </si>
  <si>
    <t>m3/h</t>
  </si>
  <si>
    <t>Cui</t>
  </si>
  <si>
    <t>Baturina</t>
  </si>
  <si>
    <t xml:space="preserve">mg/dm3 air </t>
  </si>
  <si>
    <t>Averages</t>
  </si>
  <si>
    <t>Contam. Flow</t>
  </si>
  <si>
    <t xml:space="preserve"> mg/h</t>
  </si>
  <si>
    <t>mol/L</t>
  </si>
  <si>
    <t>F</t>
  </si>
  <si>
    <t>C/mol</t>
  </si>
  <si>
    <t>n_e-_O2</t>
  </si>
  <si>
    <t>mol e- per mol O2</t>
  </si>
  <si>
    <t>Max current per cell</t>
  </si>
  <si>
    <t>A/cel</t>
  </si>
  <si>
    <t>Max O2 molar flow</t>
  </si>
  <si>
    <t>mol/sec</t>
  </si>
  <si>
    <t>Air molar flow</t>
  </si>
  <si>
    <t>Consumed</t>
  </si>
  <si>
    <t>O2 in air</t>
  </si>
  <si>
    <t>mol_O2/mol_air</t>
  </si>
  <si>
    <t>Stoich O2</t>
  </si>
  <si>
    <t>Air volume flow</t>
  </si>
  <si>
    <t>nl/s</t>
  </si>
  <si>
    <t>Vm at 0 C and 101.325 kPa</t>
  </si>
  <si>
    <t>dm3/mol or L/mol</t>
  </si>
  <si>
    <t>nl/min/cell</t>
  </si>
  <si>
    <t>Provided with stoich @ 0C</t>
  </si>
  <si>
    <t>@ 20 C</t>
  </si>
  <si>
    <t>Vm at 20 C and 101.325 kPa</t>
  </si>
  <si>
    <t>l/min/cell</t>
  </si>
  <si>
    <t>ug/mmol</t>
  </si>
  <si>
    <t>l/min/cm2</t>
  </si>
  <si>
    <t>g/h/cm2</t>
  </si>
  <si>
    <t>g/mmol</t>
  </si>
  <si>
    <t>l/h/cm2</t>
  </si>
  <si>
    <t>O2 mol consumption</t>
  </si>
  <si>
    <t>mol/s</t>
  </si>
  <si>
    <t>Air consumption</t>
  </si>
  <si>
    <t>Air flow</t>
  </si>
  <si>
    <t>mg/m3</t>
  </si>
  <si>
    <t>Faraday's constant</t>
  </si>
  <si>
    <t>n e- per mol O2</t>
  </si>
  <si>
    <t>Vm at 25 C and 101.325 kPa</t>
  </si>
  <si>
    <t>m3/mol</t>
  </si>
  <si>
    <t>R</t>
  </si>
  <si>
    <t>J/K/mol</t>
  </si>
  <si>
    <t>m3/min</t>
  </si>
  <si>
    <t>g/m3 (@20C)</t>
  </si>
  <si>
    <t>same as ppm if solution is water</t>
  </si>
  <si>
    <t>Lamard_3_stack_high</t>
  </si>
  <si>
    <t>Lamard_4_stack_moderate</t>
  </si>
  <si>
    <t>Lamard_1_SC_short_high</t>
  </si>
  <si>
    <t>Lamard_2_SC_long_low</t>
  </si>
  <si>
    <t>High area specific salt flow</t>
  </si>
  <si>
    <t>Low area specific salt flow</t>
  </si>
  <si>
    <t>Moderate area specific salt flow</t>
  </si>
  <si>
    <t>SC Stoich O2</t>
  </si>
  <si>
    <t>Stack Stoich O2</t>
  </si>
  <si>
    <t>Single cell</t>
  </si>
  <si>
    <t>Short stack</t>
  </si>
  <si>
    <t>Short stack cells</t>
  </si>
  <si>
    <t>A/cm2</t>
  </si>
  <si>
    <t>SA cells short stack</t>
  </si>
  <si>
    <t>Stoich=2 and 1A/cm2</t>
  </si>
  <si>
    <t>Current density</t>
  </si>
  <si>
    <t>MARANDA (1A/cm2, stoich2) v.s. Lit</t>
  </si>
  <si>
    <r>
      <rPr>
        <b/>
        <sz val="11"/>
        <color theme="5"/>
        <rFont val="Calibri"/>
        <family val="2"/>
        <scheme val="minor"/>
      </rPr>
      <t>Solution</t>
    </r>
    <r>
      <rPr>
        <b/>
        <sz val="11"/>
        <color theme="1"/>
        <rFont val="Calibri"/>
        <family val="2"/>
        <scheme val="minor"/>
      </rPr>
      <t xml:space="preserve"> concentration inlet</t>
    </r>
  </si>
  <si>
    <t>Salt + author info</t>
  </si>
  <si>
    <t xml:space="preserve">Solution concentration and flow from earlier paper, not mentioned in this ref. </t>
  </si>
  <si>
    <t xml:space="preserve">Static/ex-situ </t>
  </si>
  <si>
    <t>Maranda reference calculation</t>
  </si>
  <si>
    <t>Rotating thin film electrode, no PEMFC test</t>
  </si>
  <si>
    <t>Notes</t>
  </si>
  <si>
    <t>Ex-situ study</t>
  </si>
  <si>
    <t>Value from table II,  various details of test not reported</t>
  </si>
  <si>
    <t>μg/m3(air)</t>
  </si>
  <si>
    <t>Contaminant flow calculated from 5 mm3/s stated in paper</t>
  </si>
  <si>
    <t>Conversion factors</t>
  </si>
  <si>
    <t>Parameters salt</t>
  </si>
  <si>
    <t>m3/kg</t>
  </si>
  <si>
    <r>
      <t xml:space="preserve">Area specific salt flow </t>
    </r>
    <r>
      <rPr>
        <i/>
        <sz val="11"/>
        <color theme="1"/>
        <rFont val="Calibri"/>
        <family val="2"/>
        <scheme val="minor"/>
      </rPr>
      <t>(stoich. Based)</t>
    </r>
  </si>
  <si>
    <r>
      <t>Lamard calculation</t>
    </r>
    <r>
      <rPr>
        <i/>
        <sz val="11"/>
        <color theme="1"/>
        <rFont val="Calibri"/>
        <family val="2"/>
        <scheme val="minor"/>
      </rPr>
      <t xml:space="preserve"> (air rather than solution concentration given)</t>
    </r>
  </si>
  <si>
    <t>Parameters for calculations</t>
  </si>
  <si>
    <t>Calculatinos differ from other references, see blue calculation window below</t>
  </si>
  <si>
    <r>
      <t xml:space="preserve">Parameters air </t>
    </r>
    <r>
      <rPr>
        <i/>
        <sz val="11"/>
        <color theme="1"/>
        <rFont val="Calibri"/>
        <family val="2"/>
        <scheme val="minor"/>
      </rPr>
      <t>(density)</t>
    </r>
  </si>
  <si>
    <t>Assuming 100% NaCl rather than sea salt mixture, solution concentration does not apply here as this is based on air salinity rather than experiment using saline solutions</t>
  </si>
  <si>
    <t>Different calculation to check validity</t>
  </si>
  <si>
    <t>Main reference value</t>
  </si>
  <si>
    <t>μg/L(air)</t>
  </si>
  <si>
    <r>
      <t xml:space="preserve">↓ Some calculation notes </t>
    </r>
    <r>
      <rPr>
        <sz val="11"/>
        <color theme="1"/>
        <rFont val="Calibri"/>
        <family val="2"/>
      </rPr>
      <t>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</si>
</sst>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E+00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5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5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282828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11" fontId="0" fillId="0" borderId="0" xfId="0" applyNumberFormat="1"/>
    <xf numFmtId="0" fontId="0" fillId="0" borderId="0" xfId="0" quotePrefix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165" fontId="0" fillId="0" borderId="0" xfId="0" applyNumberFormat="1"/>
    <xf numFmtId="165" fontId="3" fillId="0" borderId="0" xfId="0" applyNumberFormat="1" applyFont="1"/>
    <xf numFmtId="0" fontId="0" fillId="0" borderId="1" xfId="0" applyBorder="1"/>
    <xf numFmtId="0" fontId="0" fillId="2" borderId="0" xfId="0" applyFill="1"/>
    <xf numFmtId="0" fontId="3" fillId="2" borderId="0" xfId="0" applyFont="1" applyFill="1"/>
    <xf numFmtId="2" fontId="0" fillId="2" borderId="0" xfId="0" applyNumberFormat="1" applyFill="1"/>
    <xf numFmtId="0" fontId="7" fillId="3" borderId="0" xfId="0" applyFont="1" applyFill="1"/>
    <xf numFmtId="165" fontId="7" fillId="3" borderId="0" xfId="0" applyNumberFormat="1" applyFont="1" applyFill="1"/>
    <xf numFmtId="11" fontId="7" fillId="3" borderId="0" xfId="0" applyNumberFormat="1" applyFont="1" applyFill="1"/>
    <xf numFmtId="165" fontId="0" fillId="2" borderId="0" xfId="0" applyNumberFormat="1" applyFill="1"/>
    <xf numFmtId="164" fontId="0" fillId="2" borderId="0" xfId="0" applyNumberFormat="1" applyFill="1"/>
    <xf numFmtId="165" fontId="10" fillId="0" borderId="0" xfId="0" applyNumberFormat="1" applyFont="1"/>
    <xf numFmtId="0" fontId="0" fillId="0" borderId="1" xfId="0" applyBorder="1" applyAlignment="1">
      <alignment vertical="center"/>
    </xf>
    <xf numFmtId="165" fontId="0" fillId="0" borderId="1" xfId="0" applyNumberFormat="1" applyBorder="1"/>
    <xf numFmtId="0" fontId="10" fillId="0" borderId="0" xfId="0" applyFont="1"/>
    <xf numFmtId="165" fontId="7" fillId="0" borderId="0" xfId="0" applyNumberFormat="1" applyFont="1"/>
    <xf numFmtId="11" fontId="7" fillId="0" borderId="0" xfId="0" applyNumberFormat="1" applyFont="1"/>
    <xf numFmtId="0" fontId="4" fillId="0" borderId="0" xfId="0" applyFont="1"/>
    <xf numFmtId="165" fontId="4" fillId="0" borderId="0" xfId="0" applyNumberFormat="1" applyFont="1"/>
    <xf numFmtId="0" fontId="4" fillId="0" borderId="0" xfId="0" applyFont="1" applyAlignment="1">
      <alignment horizontal="right"/>
    </xf>
    <xf numFmtId="11" fontId="4" fillId="0" borderId="0" xfId="0" applyNumberFormat="1" applyFont="1"/>
    <xf numFmtId="0" fontId="3" fillId="0" borderId="0" xfId="0" applyFont="1" applyAlignment="1">
      <alignment horizontal="center"/>
    </xf>
    <xf numFmtId="0" fontId="0" fillId="4" borderId="0" xfId="0" applyFill="1"/>
    <xf numFmtId="0" fontId="3" fillId="4" borderId="0" xfId="0" applyFont="1" applyFill="1"/>
    <xf numFmtId="2" fontId="0" fillId="4" borderId="0" xfId="0" applyNumberFormat="1" applyFill="1"/>
    <xf numFmtId="0" fontId="6" fillId="0" borderId="0" xfId="0" applyFont="1"/>
    <xf numFmtId="0" fontId="15" fillId="0" borderId="0" xfId="0" applyFont="1"/>
    <xf numFmtId="0" fontId="3" fillId="4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8031</xdr:colOff>
      <xdr:row>2</xdr:row>
      <xdr:rowOff>44823</xdr:rowOff>
    </xdr:from>
    <xdr:to>
      <xdr:col>24</xdr:col>
      <xdr:colOff>112059</xdr:colOff>
      <xdr:row>4</xdr:row>
      <xdr:rowOff>112059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99497F0-FE03-8329-99F2-909E4C5F1027}"/>
            </a:ext>
          </a:extLst>
        </xdr:cNvPr>
        <xdr:cNvSpPr/>
      </xdr:nvSpPr>
      <xdr:spPr>
        <a:xfrm>
          <a:off x="20753855" y="582705"/>
          <a:ext cx="3540498" cy="440766"/>
        </a:xfrm>
        <a:prstGeom prst="rect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nabel Broer" id="{1B78DB1B-869B-440D-8599-7B8A9C697647}" userId="S::annabelbroer@tudelft.nl::a41fb19f-cade-4736-be6f-0c5c228ab869" providerId="AD"/>
</personList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4" dT="2022-10-15T12:55:37.91" personId="{1B78DB1B-869B-440D-8599-7B8A9C697647}" id="{F07E496A-9493-47AC-95A4-DD5F2921CE7F}">
    <text>https://www.thoughtco.com/convert-molarity-to-parts-per-million-problem-609470</text>
  </threadedComment>
  <threadedComment ref="D54" dT="2024-08-21T11:39:37.20" personId="{1B78DB1B-869B-440D-8599-7B8A9C697647}" id="{92D69841-229A-4E3B-916A-043751A6278D}" parentId="{F07E496A-9493-47AC-95A4-DD5F2921CE7F}">
    <text>For gas ppm, 1 ppm indicates that 1 mol of contaminants is present in 1E6 mol gas (usually air). Sources:
https://teesing.com/en/tools/ppm-mg3-converter#mgm3-ppm
https://www.co2meter.com/blogs/news/co2-ppm?srsltid=AfmBOop0NPe9hsFF1koOZhJBbqzKF-bDV1h4k8OECIY_pNuVRHXZSin4</text>
    <extLst>
      <x:ext xmlns:xltc2="http://schemas.microsoft.com/office/spreadsheetml/2020/threadedcomments2" uri="{F7C98A9C-CBB3-438F-8F68-D28B6AF4A901}">
        <xltc2:checksum>2895501413</xltc2:checksum>
        <xltc2:hyperlink startIndex="106" length="55" url="https://teesing.com/en/tools/ppm-mg3-converter#mgm3-ppm"/>
        <xltc2:hyperlink startIndex="162" length="108" url="https://www.co2meter.com/blogs/news/co2-ppm?srsltid=AfmBOop0NPe9hsFF1koOZhJBbqzKF-bDV1h4k8OECIY_pNuVRHXZSin4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54"/>
  <sheetViews>
    <sheetView tabSelected="1" topLeftCell="O18" zoomScale="85" zoomScaleNormal="85" workbookViewId="0">
      <selection activeCell="X29" sqref="X29"/>
    </sheetView>
  </sheetViews>
  <sheetFormatPr defaultRowHeight="14.5" x14ac:dyDescent="0.35"/>
  <cols>
    <col min="1" max="1" width="11" customWidth="1"/>
    <col min="2" max="2" width="26.54296875" customWidth="1"/>
    <col min="3" max="3" width="13.1796875" customWidth="1"/>
    <col min="4" max="4" width="13.453125" customWidth="1"/>
    <col min="5" max="5" width="10.54296875" customWidth="1"/>
    <col min="6" max="6" width="12.26953125" bestFit="1" customWidth="1"/>
    <col min="7" max="7" width="9.453125" bestFit="1" customWidth="1"/>
    <col min="8" max="8" width="13.7265625" customWidth="1"/>
    <col min="9" max="9" width="12.1796875" bestFit="1" customWidth="1"/>
    <col min="10" max="10" width="12.90625" customWidth="1"/>
    <col min="11" max="11" width="10.1796875" bestFit="1" customWidth="1"/>
    <col min="12" max="12" width="14.26953125" bestFit="1" customWidth="1"/>
    <col min="13" max="13" width="9.26953125" customWidth="1"/>
    <col min="14" max="15" width="14.26953125" bestFit="1" customWidth="1"/>
    <col min="16" max="17" width="12.81640625" style="7" customWidth="1"/>
    <col min="18" max="18" width="11.36328125" style="7" customWidth="1"/>
    <col min="19" max="19" width="50.7265625" customWidth="1"/>
    <col min="20" max="20" width="11.81640625" bestFit="1" customWidth="1"/>
    <col min="21" max="21" width="12.1796875" bestFit="1" customWidth="1"/>
    <col min="22" max="22" width="11.453125" bestFit="1" customWidth="1"/>
    <col min="23" max="23" width="12" bestFit="1" customWidth="1"/>
    <col min="24" max="24" width="13.54296875" customWidth="1"/>
    <col min="25" max="27" width="12" bestFit="1" customWidth="1"/>
    <col min="28" max="28" width="9.453125" bestFit="1" customWidth="1"/>
    <col min="31" max="31" width="11.81640625" bestFit="1" customWidth="1"/>
    <col min="32" max="32" width="9.453125" bestFit="1" customWidth="1"/>
    <col min="33" max="33" width="11.81640625" bestFit="1" customWidth="1"/>
  </cols>
  <sheetData>
    <row r="1" spans="1:28" x14ac:dyDescent="0.35">
      <c r="B1" s="4"/>
      <c r="C1" s="4"/>
    </row>
    <row r="2" spans="1:28" ht="27.65" customHeight="1" x14ac:dyDescent="0.35">
      <c r="A2" s="45" t="s">
        <v>124</v>
      </c>
      <c r="B2" s="45"/>
      <c r="C2" s="28"/>
      <c r="D2" s="45" t="s">
        <v>123</v>
      </c>
      <c r="E2" s="45"/>
      <c r="F2" s="45" t="s">
        <v>62</v>
      </c>
      <c r="G2" s="45"/>
      <c r="H2" s="1" t="s">
        <v>16</v>
      </c>
      <c r="I2" s="49" t="s">
        <v>41</v>
      </c>
      <c r="J2" s="49"/>
      <c r="K2" s="1" t="s">
        <v>24</v>
      </c>
      <c r="L2" s="1" t="s">
        <v>40</v>
      </c>
      <c r="M2" s="1"/>
      <c r="N2" s="1" t="s">
        <v>22</v>
      </c>
      <c r="O2" s="1"/>
      <c r="P2" s="8"/>
      <c r="Q2" s="8"/>
      <c r="R2" s="8"/>
      <c r="U2" s="35" t="s">
        <v>144</v>
      </c>
      <c r="V2" s="36"/>
      <c r="W2" s="36"/>
      <c r="X2" s="36"/>
    </row>
    <row r="3" spans="1:28" x14ac:dyDescent="0.35">
      <c r="D3" s="1" t="s">
        <v>64</v>
      </c>
      <c r="E3" s="1" t="s">
        <v>4</v>
      </c>
      <c r="F3" s="1" t="s">
        <v>0</v>
      </c>
      <c r="G3" s="1" t="s">
        <v>10</v>
      </c>
      <c r="H3" s="1" t="s">
        <v>17</v>
      </c>
      <c r="I3" s="1" t="s">
        <v>9</v>
      </c>
      <c r="J3" s="1" t="s">
        <v>11</v>
      </c>
      <c r="K3" s="1" t="s">
        <v>25</v>
      </c>
      <c r="L3" s="1" t="s">
        <v>12</v>
      </c>
      <c r="M3" s="1" t="s">
        <v>23</v>
      </c>
      <c r="N3" s="1" t="s">
        <v>1</v>
      </c>
      <c r="O3" s="1" t="s">
        <v>21</v>
      </c>
      <c r="P3" s="8" t="s">
        <v>48</v>
      </c>
      <c r="Q3" s="8" t="s">
        <v>89</v>
      </c>
      <c r="R3" s="8" t="s">
        <v>32</v>
      </c>
      <c r="S3" s="8" t="s">
        <v>129</v>
      </c>
      <c r="U3" s="24"/>
      <c r="V3" s="24"/>
      <c r="W3" s="26"/>
      <c r="X3" s="27"/>
    </row>
    <row r="4" spans="1:28" x14ac:dyDescent="0.35">
      <c r="A4" t="s">
        <v>15</v>
      </c>
      <c r="B4" t="s">
        <v>14</v>
      </c>
      <c r="C4">
        <v>2001</v>
      </c>
      <c r="D4">
        <v>0.01</v>
      </c>
      <c r="E4">
        <f>D4*$F$51</f>
        <v>239.88</v>
      </c>
      <c r="F4" t="s">
        <v>20</v>
      </c>
      <c r="G4" t="s">
        <v>20</v>
      </c>
      <c r="H4" t="s">
        <v>38</v>
      </c>
      <c r="I4" t="s">
        <v>38</v>
      </c>
      <c r="J4" t="s">
        <v>38</v>
      </c>
      <c r="K4" t="s">
        <v>38</v>
      </c>
      <c r="L4" t="s">
        <v>20</v>
      </c>
      <c r="M4" t="s">
        <v>20</v>
      </c>
      <c r="N4" t="s">
        <v>20</v>
      </c>
      <c r="O4" t="s">
        <v>20</v>
      </c>
      <c r="P4" s="7" t="s">
        <v>20</v>
      </c>
      <c r="Q4" s="7" t="s">
        <v>20</v>
      </c>
      <c r="R4" s="7" t="s">
        <v>20</v>
      </c>
      <c r="S4" s="7" t="s">
        <v>128</v>
      </c>
      <c r="W4" s="6" t="s">
        <v>122</v>
      </c>
      <c r="X4" s="15">
        <f>$Q$28/Q32</f>
        <v>997368.15577300149</v>
      </c>
    </row>
    <row r="5" spans="1:28" x14ac:dyDescent="0.35">
      <c r="A5" s="3" t="s">
        <v>15</v>
      </c>
      <c r="B5" s="5" t="s">
        <v>19</v>
      </c>
      <c r="C5">
        <v>2007</v>
      </c>
      <c r="D5">
        <f>20/1000000</f>
        <v>2.0000000000000002E-5</v>
      </c>
      <c r="E5">
        <f>D5*$F$51</f>
        <v>0.47976000000000002</v>
      </c>
      <c r="F5">
        <f>(0.49+1.17)/2</f>
        <v>0.83</v>
      </c>
      <c r="G5">
        <f>F5/1000*60</f>
        <v>4.9799999999999997E-2</v>
      </c>
      <c r="H5" t="s">
        <v>20</v>
      </c>
      <c r="I5">
        <f>J5*60</f>
        <v>1200</v>
      </c>
      <c r="J5">
        <v>20</v>
      </c>
      <c r="K5">
        <v>50</v>
      </c>
      <c r="L5">
        <f>G5*J5*D5</f>
        <v>1.9920000000000002E-5</v>
      </c>
      <c r="M5">
        <f t="shared" ref="M5:M14" si="0">L5/K5</f>
        <v>3.9840000000000007E-7</v>
      </c>
      <c r="N5">
        <f>D5*G5/60</f>
        <v>1.66E-8</v>
      </c>
      <c r="O5">
        <f>N5*1000</f>
        <v>1.66E-5</v>
      </c>
      <c r="P5" s="7">
        <f>O5/K5</f>
        <v>3.3200000000000001E-7</v>
      </c>
      <c r="Q5" s="7">
        <f t="shared" ref="Q5:Q12" si="1">D5*G5*$D$44/K5</f>
        <v>4.7784096000000004E-7</v>
      </c>
      <c r="R5" s="7">
        <f>Q5*J5</f>
        <v>9.5568192000000016E-6</v>
      </c>
    </row>
    <row r="6" spans="1:28" x14ac:dyDescent="0.35">
      <c r="A6" t="s">
        <v>15</v>
      </c>
      <c r="B6" t="s">
        <v>18</v>
      </c>
      <c r="C6">
        <v>2008</v>
      </c>
      <c r="D6">
        <f>3/1000</f>
        <v>3.0000000000000001E-3</v>
      </c>
      <c r="E6">
        <f>D6*$F$51</f>
        <v>71.963999999999999</v>
      </c>
      <c r="F6">
        <f>5*0.001*60</f>
        <v>0.3</v>
      </c>
      <c r="G6">
        <f>F6/1000*60</f>
        <v>1.7999999999999999E-2</v>
      </c>
      <c r="H6" t="s">
        <v>20</v>
      </c>
      <c r="I6">
        <f>J6*60</f>
        <v>3000</v>
      </c>
      <c r="J6">
        <v>50</v>
      </c>
      <c r="K6">
        <v>25</v>
      </c>
      <c r="L6">
        <f>G6*J6*D6</f>
        <v>2.6999999999999997E-3</v>
      </c>
      <c r="M6">
        <f t="shared" si="0"/>
        <v>1.0799999999999998E-4</v>
      </c>
      <c r="N6">
        <f t="shared" ref="N6:N8" si="2">D6*G6/60</f>
        <v>8.9999999999999996E-7</v>
      </c>
      <c r="O6">
        <f t="shared" ref="O6:O8" si="3">N6*1000</f>
        <v>8.9999999999999998E-4</v>
      </c>
      <c r="P6" s="7">
        <f t="shared" ref="P6:P14" si="4">O6/K6</f>
        <v>3.6000000000000001E-5</v>
      </c>
      <c r="Q6" s="7">
        <f t="shared" si="1"/>
        <v>5.1814079999999994E-5</v>
      </c>
      <c r="R6" s="7">
        <f>Q6*J6</f>
        <v>2.5907039999999997E-3</v>
      </c>
      <c r="S6" t="s">
        <v>133</v>
      </c>
    </row>
    <row r="7" spans="1:28" x14ac:dyDescent="0.35">
      <c r="A7" t="s">
        <v>15</v>
      </c>
      <c r="B7" t="s">
        <v>33</v>
      </c>
      <c r="C7">
        <v>2011</v>
      </c>
      <c r="D7">
        <f t="shared" ref="D7:D12" si="5">E7*$E$52</f>
        <v>4.1687510421877605E-5</v>
      </c>
      <c r="E7">
        <v>1</v>
      </c>
      <c r="F7" s="5">
        <v>0.2</v>
      </c>
      <c r="G7" s="5">
        <f>F7/1000*60</f>
        <v>1.2E-2</v>
      </c>
      <c r="H7" t="s">
        <v>20</v>
      </c>
      <c r="I7">
        <f>J7*60</f>
        <v>12672.000000000002</v>
      </c>
      <c r="J7">
        <f>8.8*24</f>
        <v>211.20000000000002</v>
      </c>
      <c r="K7">
        <v>50</v>
      </c>
      <c r="L7">
        <f>G7*J7*D7</f>
        <v>1.0565282641320661E-4</v>
      </c>
      <c r="M7">
        <f t="shared" si="0"/>
        <v>2.113056528264132E-6</v>
      </c>
      <c r="N7">
        <f t="shared" si="2"/>
        <v>8.3375020843755211E-9</v>
      </c>
      <c r="O7">
        <f t="shared" si="3"/>
        <v>8.3375020843755216E-6</v>
      </c>
      <c r="P7" s="7">
        <f t="shared" si="4"/>
        <v>1.6675004168751044E-7</v>
      </c>
      <c r="Q7" s="7">
        <f t="shared" si="1"/>
        <v>2.4000000000000003E-7</v>
      </c>
      <c r="R7" s="7">
        <f t="shared" ref="R7:R11" si="6">Q7*J7</f>
        <v>5.0688000000000013E-5</v>
      </c>
      <c r="S7" s="37" t="s">
        <v>125</v>
      </c>
    </row>
    <row r="8" spans="1:28" x14ac:dyDescent="0.35">
      <c r="A8" t="s">
        <v>15</v>
      </c>
      <c r="B8" t="s">
        <v>34</v>
      </c>
      <c r="C8">
        <v>2011</v>
      </c>
      <c r="D8">
        <f t="shared" si="5"/>
        <v>1.6675004168751042E-4</v>
      </c>
      <c r="E8">
        <v>4</v>
      </c>
      <c r="F8" s="5">
        <v>0.2</v>
      </c>
      <c r="G8" s="5">
        <f>F7/1000*60</f>
        <v>1.2E-2</v>
      </c>
      <c r="H8" t="s">
        <v>20</v>
      </c>
      <c r="I8">
        <f>J8*60</f>
        <v>14400</v>
      </c>
      <c r="J8">
        <f>10*24</f>
        <v>240</v>
      </c>
      <c r="K8">
        <v>50</v>
      </c>
      <c r="L8">
        <f>G7*J8*D8</f>
        <v>4.8024012006003E-4</v>
      </c>
      <c r="M8">
        <f t="shared" si="0"/>
        <v>9.6048024012005999E-6</v>
      </c>
      <c r="N8">
        <f t="shared" si="2"/>
        <v>3.3350008337502084E-8</v>
      </c>
      <c r="O8">
        <f t="shared" si="3"/>
        <v>3.3350008337502086E-5</v>
      </c>
      <c r="P8" s="7">
        <f t="shared" si="4"/>
        <v>6.6700016675004174E-7</v>
      </c>
      <c r="Q8" s="7">
        <f t="shared" si="1"/>
        <v>9.6000000000000013E-7</v>
      </c>
      <c r="R8" s="7">
        <f t="shared" si="6"/>
        <v>2.3040000000000002E-4</v>
      </c>
      <c r="S8" s="37"/>
    </row>
    <row r="9" spans="1:28" x14ac:dyDescent="0.35">
      <c r="A9" t="s">
        <v>15</v>
      </c>
      <c r="B9" t="s">
        <v>35</v>
      </c>
      <c r="C9">
        <v>2011</v>
      </c>
      <c r="D9">
        <f t="shared" si="5"/>
        <v>8.3375020843755212E-4</v>
      </c>
      <c r="E9">
        <v>20</v>
      </c>
      <c r="F9" s="5">
        <v>0.2</v>
      </c>
      <c r="G9" s="5">
        <f>F7/1000*60</f>
        <v>1.2E-2</v>
      </c>
      <c r="H9" t="s">
        <v>20</v>
      </c>
      <c r="I9">
        <f>J9*60</f>
        <v>12240</v>
      </c>
      <c r="J9">
        <f>8.5*24</f>
        <v>204</v>
      </c>
      <c r="K9">
        <v>50</v>
      </c>
      <c r="L9">
        <f>G9*J9*D9</f>
        <v>2.0410205102551274E-3</v>
      </c>
      <c r="M9">
        <f>L9/K9</f>
        <v>4.082041020510255E-5</v>
      </c>
      <c r="N9">
        <f>D9*G9/60</f>
        <v>1.6675004168751044E-7</v>
      </c>
      <c r="O9">
        <f>N9*1000</f>
        <v>1.6675004168751045E-4</v>
      </c>
      <c r="P9" s="7">
        <f t="shared" ref="P9:P12" si="7">O9/K9</f>
        <v>3.3350008337502088E-6</v>
      </c>
      <c r="Q9" s="7">
        <f t="shared" si="1"/>
        <v>4.7999999999999998E-6</v>
      </c>
      <c r="R9" s="7">
        <f t="shared" si="6"/>
        <v>9.7919999999999995E-4</v>
      </c>
      <c r="S9" s="37"/>
    </row>
    <row r="10" spans="1:28" x14ac:dyDescent="0.35">
      <c r="A10" t="s">
        <v>44</v>
      </c>
      <c r="B10" t="s">
        <v>26</v>
      </c>
      <c r="C10">
        <v>2012</v>
      </c>
      <c r="D10">
        <f t="shared" si="5"/>
        <v>2.0843755210938803E-2</v>
      </c>
      <c r="E10">
        <v>500</v>
      </c>
      <c r="F10" s="5" t="s">
        <v>20</v>
      </c>
      <c r="G10" s="5" t="s">
        <v>20</v>
      </c>
      <c r="H10">
        <v>0.25</v>
      </c>
      <c r="I10" t="s">
        <v>38</v>
      </c>
      <c r="J10" t="s">
        <v>38</v>
      </c>
      <c r="K10">
        <v>0.19600000000000001</v>
      </c>
      <c r="L10">
        <f>D10*H10</f>
        <v>5.2109388027347008E-3</v>
      </c>
      <c r="M10">
        <f t="shared" si="0"/>
        <v>2.6586422462932146E-2</v>
      </c>
      <c r="N10" t="s">
        <v>20</v>
      </c>
      <c r="O10" t="s">
        <v>20</v>
      </c>
      <c r="P10" s="7" t="e">
        <f>O10/K10</f>
        <v>#VALUE!</v>
      </c>
      <c r="Q10" s="7" t="e">
        <f t="shared" si="1"/>
        <v>#VALUE!</v>
      </c>
      <c r="R10" s="7" t="e">
        <f t="shared" si="6"/>
        <v>#VALUE!</v>
      </c>
      <c r="S10" s="38" t="s">
        <v>130</v>
      </c>
    </row>
    <row r="11" spans="1:28" x14ac:dyDescent="0.35">
      <c r="A11" t="s">
        <v>15</v>
      </c>
      <c r="B11" t="s">
        <v>27</v>
      </c>
      <c r="C11">
        <v>2012</v>
      </c>
      <c r="D11">
        <f t="shared" si="5"/>
        <v>8.3375020843755213E-2</v>
      </c>
      <c r="E11">
        <v>2000</v>
      </c>
      <c r="F11" s="5" t="s">
        <v>20</v>
      </c>
      <c r="G11" s="5" t="s">
        <v>20</v>
      </c>
      <c r="H11">
        <v>0.25</v>
      </c>
      <c r="I11" t="s">
        <v>38</v>
      </c>
      <c r="J11" t="s">
        <v>38</v>
      </c>
      <c r="K11">
        <v>0.19600000000000001</v>
      </c>
      <c r="L11">
        <f>D11*H11</f>
        <v>2.0843755210938803E-2</v>
      </c>
      <c r="M11">
        <f>L11/K11</f>
        <v>0.10634568985172858</v>
      </c>
      <c r="N11" t="s">
        <v>20</v>
      </c>
      <c r="O11" t="s">
        <v>20</v>
      </c>
      <c r="P11" s="7" t="e">
        <f t="shared" si="7"/>
        <v>#VALUE!</v>
      </c>
      <c r="Q11" s="7" t="e">
        <f t="shared" si="1"/>
        <v>#VALUE!</v>
      </c>
      <c r="R11" s="7" t="e">
        <f t="shared" si="6"/>
        <v>#VALUE!</v>
      </c>
      <c r="S11" s="38"/>
    </row>
    <row r="12" spans="1:28" x14ac:dyDescent="0.35">
      <c r="A12" s="9" t="s">
        <v>15</v>
      </c>
      <c r="B12" s="9" t="s">
        <v>59</v>
      </c>
      <c r="C12" s="9">
        <v>2011</v>
      </c>
      <c r="D12" s="9">
        <f t="shared" si="5"/>
        <v>1.6675004168751042E-4</v>
      </c>
      <c r="E12" s="9">
        <v>4</v>
      </c>
      <c r="F12" s="19">
        <v>1000</v>
      </c>
      <c r="G12" s="19">
        <f>F12/1000*60</f>
        <v>60</v>
      </c>
      <c r="H12" s="9" t="s">
        <v>20</v>
      </c>
      <c r="I12" s="9">
        <f>J12*60</f>
        <v>1200</v>
      </c>
      <c r="J12" s="9">
        <v>20</v>
      </c>
      <c r="K12" s="9">
        <v>25</v>
      </c>
      <c r="L12" s="9">
        <f>G12*J12*D12</f>
        <v>0.20010005002501249</v>
      </c>
      <c r="M12" s="9">
        <f>L12/K12</f>
        <v>8.0040020010004997E-3</v>
      </c>
      <c r="N12" s="9">
        <f>D12*G12/60</f>
        <v>1.6675004168751042E-4</v>
      </c>
      <c r="O12" s="9">
        <f>N12*1000</f>
        <v>0.16675004168751043</v>
      </c>
      <c r="P12" s="20">
        <f t="shared" si="7"/>
        <v>6.670001667500417E-3</v>
      </c>
      <c r="Q12" s="20">
        <f t="shared" si="1"/>
        <v>9.5999999999999992E-3</v>
      </c>
      <c r="R12" s="20">
        <f>Q12*J12</f>
        <v>0.19199999999999998</v>
      </c>
      <c r="S12" s="20"/>
      <c r="T12" s="42" t="s">
        <v>146</v>
      </c>
      <c r="U12" s="42"/>
      <c r="V12" s="42"/>
      <c r="W12" s="42"/>
      <c r="X12" s="42"/>
      <c r="Y12" s="7"/>
      <c r="Z12" s="1"/>
    </row>
    <row r="13" spans="1:28" x14ac:dyDescent="0.35">
      <c r="A13" t="s">
        <v>3</v>
      </c>
      <c r="B13" t="s">
        <v>13</v>
      </c>
      <c r="C13">
        <v>2007</v>
      </c>
      <c r="D13">
        <v>1</v>
      </c>
      <c r="E13">
        <f>D13*$F$49</f>
        <v>58440</v>
      </c>
      <c r="F13">
        <v>1</v>
      </c>
      <c r="G13">
        <f>F13/1000*60</f>
        <v>0.06</v>
      </c>
      <c r="H13" t="s">
        <v>20</v>
      </c>
      <c r="I13">
        <f>J13*60</f>
        <v>6000</v>
      </c>
      <c r="J13">
        <v>100</v>
      </c>
      <c r="K13">
        <v>25</v>
      </c>
      <c r="L13">
        <f>G13*J13*D13</f>
        <v>6</v>
      </c>
      <c r="M13">
        <f t="shared" si="0"/>
        <v>0.24</v>
      </c>
      <c r="N13">
        <f t="shared" ref="N13:N14" si="8">D13*G13/60</f>
        <v>1E-3</v>
      </c>
      <c r="O13">
        <f>N13*1000</f>
        <v>1</v>
      </c>
      <c r="P13" s="7">
        <f t="shared" si="4"/>
        <v>0.04</v>
      </c>
      <c r="Q13" s="7">
        <f>D13*G13*$D$38/K13</f>
        <v>0.14025599999999999</v>
      </c>
      <c r="R13" s="7">
        <f>Q13*J13</f>
        <v>14.025599999999999</v>
      </c>
      <c r="T13" t="s">
        <v>52</v>
      </c>
      <c r="U13" t="s">
        <v>53</v>
      </c>
      <c r="V13" t="s">
        <v>105</v>
      </c>
      <c r="Z13" s="24"/>
      <c r="AA13" s="24"/>
      <c r="AB13" s="24"/>
    </row>
    <row r="14" spans="1:28" x14ac:dyDescent="0.35">
      <c r="A14" t="s">
        <v>3</v>
      </c>
      <c r="B14" s="5" t="s">
        <v>19</v>
      </c>
      <c r="C14">
        <v>2007</v>
      </c>
      <c r="D14">
        <f>20/1000000</f>
        <v>2.0000000000000002E-5</v>
      </c>
      <c r="E14">
        <f>D14*F49</f>
        <v>1.1688000000000001</v>
      </c>
      <c r="F14">
        <f>(0.49+1.17)/2</f>
        <v>0.83</v>
      </c>
      <c r="G14">
        <f>F14/1000*60</f>
        <v>4.9799999999999997E-2</v>
      </c>
      <c r="H14" t="s">
        <v>20</v>
      </c>
      <c r="I14" t="s">
        <v>38</v>
      </c>
      <c r="J14" t="s">
        <v>38</v>
      </c>
      <c r="K14">
        <v>50</v>
      </c>
      <c r="L14" t="e">
        <f>G14*J14*D14</f>
        <v>#VALUE!</v>
      </c>
      <c r="M14" t="e">
        <f t="shared" si="0"/>
        <v>#VALUE!</v>
      </c>
      <c r="N14">
        <f t="shared" si="8"/>
        <v>1.66E-8</v>
      </c>
      <c r="O14">
        <f>N14*1000</f>
        <v>1.66E-5</v>
      </c>
      <c r="P14" s="7">
        <f t="shared" si="4"/>
        <v>3.3200000000000001E-7</v>
      </c>
      <c r="Q14" s="7">
        <f>D14*G14*$D$38/K14</f>
        <v>1.1641248E-6</v>
      </c>
      <c r="R14" s="7" t="e">
        <f t="shared" ref="R14:R24" si="9">Q14*J14</f>
        <v>#VALUE!</v>
      </c>
      <c r="S14" t="s">
        <v>131</v>
      </c>
      <c r="Z14" s="24"/>
      <c r="AA14" s="24"/>
      <c r="AB14" s="24"/>
    </row>
    <row r="15" spans="1:28" x14ac:dyDescent="0.35">
      <c r="A15" t="s">
        <v>3</v>
      </c>
      <c r="B15" t="s">
        <v>58</v>
      </c>
      <c r="C15">
        <v>2016</v>
      </c>
      <c r="D15">
        <v>0.01</v>
      </c>
      <c r="E15">
        <f>D15*$D$39</f>
        <v>584.4</v>
      </c>
      <c r="F15" t="s">
        <v>20</v>
      </c>
      <c r="G15" t="s">
        <v>20</v>
      </c>
      <c r="H15" t="s">
        <v>38</v>
      </c>
      <c r="I15">
        <f>J15*60</f>
        <v>240</v>
      </c>
      <c r="J15">
        <v>4</v>
      </c>
      <c r="K15">
        <v>1</v>
      </c>
      <c r="L15" t="s">
        <v>38</v>
      </c>
      <c r="M15" t="s">
        <v>38</v>
      </c>
      <c r="N15" t="s">
        <v>20</v>
      </c>
      <c r="O15" t="s">
        <v>20</v>
      </c>
      <c r="P15" s="7" t="e">
        <f t="shared" ref="P15:P19" si="10">O15/K15</f>
        <v>#VALUE!</v>
      </c>
      <c r="Q15" s="7" t="e">
        <f>D15*G15*$D$38/K15</f>
        <v>#VALUE!</v>
      </c>
      <c r="R15" s="7" t="e">
        <f t="shared" si="9"/>
        <v>#VALUE!</v>
      </c>
      <c r="T15">
        <f>0.5*0.001</f>
        <v>5.0000000000000001E-4</v>
      </c>
      <c r="U15" t="s">
        <v>32</v>
      </c>
      <c r="Z15" s="25"/>
      <c r="AA15" s="25"/>
      <c r="AB15" s="25"/>
    </row>
    <row r="16" spans="1:28" x14ac:dyDescent="0.35">
      <c r="A16" t="s">
        <v>3</v>
      </c>
      <c r="B16" t="s">
        <v>29</v>
      </c>
      <c r="C16">
        <v>2017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>
        <f>3000/60</f>
        <v>50</v>
      </c>
      <c r="J16">
        <f>I16/60</f>
        <v>0.83333333333333337</v>
      </c>
      <c r="K16">
        <v>4</v>
      </c>
      <c r="L16">
        <f>(J16*T16)/D39</f>
        <v>1.7111567419575633E-5</v>
      </c>
      <c r="M16">
        <f>L16/K16</f>
        <v>4.2778918548939082E-6</v>
      </c>
      <c r="N16">
        <f>(1.2/D39)/60</f>
        <v>3.4223134839151264E-7</v>
      </c>
      <c r="O16">
        <f>N16*1000</f>
        <v>3.4223134839151266E-4</v>
      </c>
      <c r="P16" s="7">
        <f t="shared" si="10"/>
        <v>8.5557837097878164E-5</v>
      </c>
      <c r="Q16" s="7">
        <f>T16/1000/K16</f>
        <v>2.9999999999999997E-4</v>
      </c>
      <c r="R16" s="7">
        <f t="shared" si="9"/>
        <v>2.5000000000000001E-4</v>
      </c>
      <c r="T16">
        <v>1.2</v>
      </c>
      <c r="U16" t="s">
        <v>63</v>
      </c>
      <c r="V16">
        <f>3000/3600</f>
        <v>0.83333333333333337</v>
      </c>
      <c r="W16" t="s">
        <v>47</v>
      </c>
      <c r="AA16" s="7"/>
      <c r="AB16" s="7"/>
    </row>
    <row r="17" spans="1:33" x14ac:dyDescent="0.35">
      <c r="A17" t="s">
        <v>3</v>
      </c>
      <c r="B17" t="s">
        <v>30</v>
      </c>
      <c r="C17">
        <v>2018</v>
      </c>
      <c r="D17">
        <v>0.05</v>
      </c>
      <c r="E17">
        <f>D17*$D$39</f>
        <v>2922</v>
      </c>
      <c r="F17">
        <f>750/1000</f>
        <v>0.75</v>
      </c>
      <c r="G17">
        <f>F17/1000*60</f>
        <v>4.4999999999999998E-2</v>
      </c>
      <c r="H17" t="s">
        <v>20</v>
      </c>
      <c r="I17">
        <v>120</v>
      </c>
      <c r="J17">
        <f>I17/60</f>
        <v>2</v>
      </c>
      <c r="K17">
        <v>4.2</v>
      </c>
      <c r="L17">
        <f>G17*J17*D17</f>
        <v>4.4999999999999997E-3</v>
      </c>
      <c r="M17">
        <f>L17/K17</f>
        <v>1.0714285714285713E-3</v>
      </c>
      <c r="N17">
        <f>D17*G17/60</f>
        <v>3.7499999999999997E-5</v>
      </c>
      <c r="O17">
        <f>N17*1000</f>
        <v>3.7499999999999999E-2</v>
      </c>
      <c r="P17" s="7">
        <f t="shared" si="10"/>
        <v>8.9285714285714281E-3</v>
      </c>
      <c r="Q17" s="7">
        <f>D17*G17*$D$38/K17</f>
        <v>3.1307142857142853E-2</v>
      </c>
      <c r="R17" s="7">
        <f t="shared" si="9"/>
        <v>6.2614285714285706E-2</v>
      </c>
      <c r="Z17" s="7"/>
      <c r="AA17" s="7"/>
      <c r="AB17" s="7"/>
    </row>
    <row r="18" spans="1:33" x14ac:dyDescent="0.35">
      <c r="A18" t="s">
        <v>3</v>
      </c>
      <c r="B18" s="5" t="s">
        <v>45</v>
      </c>
      <c r="C18">
        <v>2022</v>
      </c>
      <c r="D18">
        <v>0.5</v>
      </c>
      <c r="E18">
        <f>D18*$D$39</f>
        <v>29220</v>
      </c>
      <c r="F18">
        <f>1/60</f>
        <v>1.6666666666666666E-2</v>
      </c>
      <c r="G18">
        <f>F18/1000*60</f>
        <v>1E-3</v>
      </c>
      <c r="H18" t="s">
        <v>20</v>
      </c>
      <c r="I18">
        <v>60</v>
      </c>
      <c r="J18">
        <f>I18/60</f>
        <v>1</v>
      </c>
      <c r="K18">
        <v>5</v>
      </c>
      <c r="L18">
        <f t="shared" ref="L18:L24" si="11">G18*J18*D18</f>
        <v>5.0000000000000001E-4</v>
      </c>
      <c r="M18">
        <f t="shared" ref="M18:M26" si="12">L18/K18</f>
        <v>1E-4</v>
      </c>
      <c r="N18">
        <f t="shared" ref="N18:N19" si="13">D18*G18/60</f>
        <v>8.3333333333333337E-6</v>
      </c>
      <c r="O18">
        <f>N18*1000</f>
        <v>8.3333333333333332E-3</v>
      </c>
      <c r="P18" s="7">
        <f t="shared" si="10"/>
        <v>1.6666666666666666E-3</v>
      </c>
      <c r="Q18" s="7">
        <f>D18*G18*$D$38/K18</f>
        <v>5.8440000000000002E-3</v>
      </c>
      <c r="R18" s="7">
        <f t="shared" si="9"/>
        <v>5.8440000000000002E-3</v>
      </c>
      <c r="Z18" s="7"/>
      <c r="AA18" s="7"/>
      <c r="AB18" s="7"/>
    </row>
    <row r="19" spans="1:33" x14ac:dyDescent="0.35">
      <c r="A19" t="s">
        <v>3</v>
      </c>
      <c r="B19" s="5" t="s">
        <v>46</v>
      </c>
      <c r="C19">
        <v>2022</v>
      </c>
      <c r="D19">
        <v>0.5</v>
      </c>
      <c r="E19">
        <f>D19*$D$39</f>
        <v>29220</v>
      </c>
      <c r="F19">
        <f>1/60</f>
        <v>1.6666666666666666E-2</v>
      </c>
      <c r="G19">
        <f>F19/1000*60</f>
        <v>1E-3</v>
      </c>
      <c r="H19" t="s">
        <v>20</v>
      </c>
      <c r="I19">
        <v>60</v>
      </c>
      <c r="J19">
        <f>I19/60</f>
        <v>1</v>
      </c>
      <c r="K19">
        <v>5</v>
      </c>
      <c r="L19">
        <f>G19*J19*D19</f>
        <v>5.0000000000000001E-4</v>
      </c>
      <c r="M19">
        <f>L19/K19</f>
        <v>1E-4</v>
      </c>
      <c r="N19">
        <f t="shared" si="13"/>
        <v>8.3333333333333337E-6</v>
      </c>
      <c r="O19">
        <f>N19*1000</f>
        <v>8.3333333333333332E-3</v>
      </c>
      <c r="P19" s="7">
        <f t="shared" si="10"/>
        <v>1.6666666666666666E-3</v>
      </c>
      <c r="Q19" s="7">
        <f>D19*G19*$D$38/K19</f>
        <v>5.8440000000000002E-3</v>
      </c>
      <c r="R19" s="7">
        <f t="shared" si="9"/>
        <v>5.8440000000000002E-3</v>
      </c>
      <c r="T19" t="s">
        <v>42</v>
      </c>
      <c r="Z19" s="7"/>
      <c r="AA19" s="7"/>
      <c r="AB19" s="7"/>
    </row>
    <row r="20" spans="1:33" x14ac:dyDescent="0.35">
      <c r="A20" t="s">
        <v>3</v>
      </c>
      <c r="B20" s="5" t="s">
        <v>108</v>
      </c>
      <c r="C20">
        <v>2023</v>
      </c>
      <c r="E20" s="18">
        <f>T20/1000/$A$37</f>
        <v>4.152823920265781E-3</v>
      </c>
      <c r="F20" s="21">
        <f>$M$47*10^6</f>
        <v>532.48865857681631</v>
      </c>
      <c r="H20" t="s">
        <v>20</v>
      </c>
      <c r="I20">
        <v>30</v>
      </c>
      <c r="J20">
        <f>I20/60</f>
        <v>0.5</v>
      </c>
      <c r="K20">
        <f>$M$37</f>
        <v>11.76</v>
      </c>
      <c r="Q20" s="18">
        <f>$M$50</f>
        <v>1.35838943514494E-2</v>
      </c>
      <c r="R20" s="7">
        <f>Q20*J20</f>
        <v>6.7919471757247E-3</v>
      </c>
      <c r="S20" s="37" t="s">
        <v>140</v>
      </c>
      <c r="T20">
        <v>5000</v>
      </c>
      <c r="U20" t="s">
        <v>96</v>
      </c>
      <c r="Z20" s="7"/>
      <c r="AA20" s="7"/>
      <c r="AB20" s="7"/>
      <c r="AF20" s="6"/>
      <c r="AG20" s="7"/>
    </row>
    <row r="21" spans="1:33" x14ac:dyDescent="0.35">
      <c r="A21" t="s">
        <v>3</v>
      </c>
      <c r="B21" s="5" t="s">
        <v>109</v>
      </c>
      <c r="C21">
        <v>2023</v>
      </c>
      <c r="E21" s="18">
        <f>T21/1000/$A$37</f>
        <v>8.3056478405315619E-6</v>
      </c>
      <c r="F21" s="21">
        <f>$M$47*10^6</f>
        <v>532.48865857681631</v>
      </c>
      <c r="H21" t="s">
        <v>20</v>
      </c>
      <c r="I21">
        <f t="shared" ref="I21:I26" si="14">J21*60</f>
        <v>9900</v>
      </c>
      <c r="J21">
        <v>165</v>
      </c>
      <c r="K21">
        <f>$M$37</f>
        <v>11.76</v>
      </c>
      <c r="Q21" s="18">
        <f>$M$51</f>
        <v>2.7167788702898797E-5</v>
      </c>
      <c r="R21" s="7">
        <f>Q21*J21</f>
        <v>4.4826851359783017E-3</v>
      </c>
      <c r="S21" s="37"/>
      <c r="T21">
        <v>10</v>
      </c>
      <c r="U21" t="s">
        <v>96</v>
      </c>
      <c r="Z21" s="7"/>
      <c r="AA21" s="7"/>
      <c r="AB21" s="7"/>
      <c r="AF21" s="6"/>
      <c r="AG21" s="23"/>
    </row>
    <row r="22" spans="1:33" x14ac:dyDescent="0.35">
      <c r="A22" t="s">
        <v>3</v>
      </c>
      <c r="B22" s="5" t="s">
        <v>106</v>
      </c>
      <c r="C22">
        <v>2023</v>
      </c>
      <c r="E22" s="18">
        <f>T22/1000/$A$37</f>
        <v>4.152823920265781E-3</v>
      </c>
      <c r="F22" s="21">
        <f>$Q$47*10^6</f>
        <v>19923.045048792446</v>
      </c>
      <c r="H22" t="s">
        <v>20</v>
      </c>
      <c r="I22">
        <f t="shared" si="14"/>
        <v>600</v>
      </c>
      <c r="J22">
        <v>10</v>
      </c>
      <c r="K22">
        <f>$M$38*$M$42</f>
        <v>1100</v>
      </c>
      <c r="Q22" s="18">
        <f>$Q$50</f>
        <v>5.4335577405797584E-3</v>
      </c>
      <c r="R22" s="7">
        <f>Q22*J22</f>
        <v>5.4335577405797586E-2</v>
      </c>
      <c r="S22" s="37"/>
      <c r="T22">
        <v>5000</v>
      </c>
      <c r="U22" t="s">
        <v>96</v>
      </c>
      <c r="W22" s="7"/>
      <c r="Z22" s="7"/>
      <c r="AA22" s="7"/>
      <c r="AB22" s="7"/>
      <c r="AF22" s="6"/>
      <c r="AG22" s="7"/>
    </row>
    <row r="23" spans="1:33" x14ac:dyDescent="0.35">
      <c r="A23" t="s">
        <v>3</v>
      </c>
      <c r="B23" s="5" t="s">
        <v>107</v>
      </c>
      <c r="C23">
        <v>2023</v>
      </c>
      <c r="E23" s="18">
        <f>T23/1000/$A$37</f>
        <v>4.1528239202657808E-4</v>
      </c>
      <c r="F23" s="21">
        <f>$Q$47*10^6</f>
        <v>19923.045048792446</v>
      </c>
      <c r="H23" t="s">
        <v>20</v>
      </c>
      <c r="I23">
        <f t="shared" si="14"/>
        <v>2580</v>
      </c>
      <c r="J23">
        <v>43</v>
      </c>
      <c r="K23">
        <f>$M$38*$M$42</f>
        <v>1100</v>
      </c>
      <c r="Q23" s="18">
        <f>$Q$51</f>
        <v>5.4335577405797584E-4</v>
      </c>
      <c r="R23" s="7">
        <f>Q23*J23</f>
        <v>2.3364298284492963E-2</v>
      </c>
      <c r="S23" s="37"/>
      <c r="T23">
        <v>500</v>
      </c>
      <c r="U23" t="s">
        <v>96</v>
      </c>
      <c r="Z23" s="7"/>
      <c r="AA23" s="7"/>
      <c r="AB23" s="7"/>
      <c r="AF23" s="6"/>
      <c r="AG23" s="23"/>
    </row>
    <row r="24" spans="1:33" x14ac:dyDescent="0.35">
      <c r="A24" t="s">
        <v>3</v>
      </c>
      <c r="B24" s="5" t="s">
        <v>54</v>
      </c>
      <c r="C24">
        <v>2019</v>
      </c>
      <c r="D24">
        <v>0.05</v>
      </c>
      <c r="E24">
        <f>D24*$F$49</f>
        <v>2922</v>
      </c>
      <c r="F24">
        <f>750/1000</f>
        <v>0.75</v>
      </c>
      <c r="G24">
        <f t="shared" ref="G24" si="15">F24/1000*60</f>
        <v>4.4999999999999998E-2</v>
      </c>
      <c r="H24" t="s">
        <v>20</v>
      </c>
      <c r="I24">
        <f t="shared" si="14"/>
        <v>150</v>
      </c>
      <c r="J24">
        <v>2.5</v>
      </c>
      <c r="K24">
        <v>4.2</v>
      </c>
      <c r="L24">
        <f t="shared" si="11"/>
        <v>5.6249999999999998E-3</v>
      </c>
      <c r="M24">
        <f>L24/K24</f>
        <v>1.3392857142857141E-3</v>
      </c>
      <c r="N24">
        <f>D24*G24/60</f>
        <v>3.7499999999999997E-5</v>
      </c>
      <c r="O24">
        <f>N24*1000</f>
        <v>3.7499999999999999E-2</v>
      </c>
      <c r="P24" s="7">
        <f t="shared" ref="P24" si="16">O24/K24</f>
        <v>8.9285714285714281E-3</v>
      </c>
      <c r="Q24" s="7">
        <f>D24*G24*$D$38/K24</f>
        <v>3.1307142857142853E-2</v>
      </c>
      <c r="R24" s="7">
        <f t="shared" si="9"/>
        <v>7.8267857142857139E-2</v>
      </c>
      <c r="T24" t="s">
        <v>55</v>
      </c>
      <c r="Z24" s="7"/>
      <c r="AA24" s="7"/>
      <c r="AB24" s="7"/>
    </row>
    <row r="25" spans="1:33" x14ac:dyDescent="0.35">
      <c r="A25" t="s">
        <v>3</v>
      </c>
      <c r="B25" s="5" t="s">
        <v>56</v>
      </c>
      <c r="C25">
        <v>2023</v>
      </c>
      <c r="D25">
        <f>E25*$E$50</f>
        <v>0.17111567419575632</v>
      </c>
      <c r="E25">
        <f>10*1000</f>
        <v>10000</v>
      </c>
      <c r="F25" t="s">
        <v>20</v>
      </c>
      <c r="G25" t="s">
        <v>20</v>
      </c>
      <c r="H25">
        <v>0.2</v>
      </c>
      <c r="I25">
        <f t="shared" si="14"/>
        <v>1440</v>
      </c>
      <c r="J25">
        <v>24</v>
      </c>
      <c r="K25">
        <f>2.5*2.5</f>
        <v>6.25</v>
      </c>
      <c r="L25">
        <f>H25*D25</f>
        <v>3.4223134839151265E-2</v>
      </c>
      <c r="M25">
        <f t="shared" si="12"/>
        <v>5.4757015742642025E-3</v>
      </c>
      <c r="N25" t="s">
        <v>20</v>
      </c>
      <c r="O25" t="s">
        <v>20</v>
      </c>
      <c r="P25" s="7" t="s">
        <v>20</v>
      </c>
      <c r="Q25" s="7" t="s">
        <v>20</v>
      </c>
      <c r="R25" s="7" t="s">
        <v>20</v>
      </c>
      <c r="S25" s="7" t="s">
        <v>126</v>
      </c>
      <c r="Z25" s="7"/>
      <c r="AA25" s="7"/>
      <c r="AB25" s="7"/>
    </row>
    <row r="26" spans="1:33" x14ac:dyDescent="0.35">
      <c r="A26" t="s">
        <v>43</v>
      </c>
      <c r="B26" t="s">
        <v>28</v>
      </c>
      <c r="C26">
        <v>2016</v>
      </c>
      <c r="D26" t="s">
        <v>39</v>
      </c>
      <c r="E26" t="s">
        <v>39</v>
      </c>
      <c r="F26" t="s">
        <v>20</v>
      </c>
      <c r="G26" t="s">
        <v>20</v>
      </c>
      <c r="H26" t="s">
        <v>20</v>
      </c>
      <c r="I26">
        <f t="shared" si="14"/>
        <v>2880</v>
      </c>
      <c r="J26">
        <v>48</v>
      </c>
      <c r="K26">
        <f>24*90</f>
        <v>2160</v>
      </c>
      <c r="L26" t="e">
        <f>G26*J26*D26</f>
        <v>#VALUE!</v>
      </c>
      <c r="M26" t="e">
        <f t="shared" si="12"/>
        <v>#VALUE!</v>
      </c>
      <c r="N26" t="e">
        <f>D26*G26*60</f>
        <v>#VALUE!</v>
      </c>
      <c r="O26" t="e">
        <f>N26*1000</f>
        <v>#VALUE!</v>
      </c>
      <c r="P26" s="7" t="e">
        <f>O26/K26</f>
        <v>#VALUE!</v>
      </c>
      <c r="Z26" s="7"/>
      <c r="AA26" s="7"/>
      <c r="AB26" s="7"/>
    </row>
    <row r="27" spans="1:33" x14ac:dyDescent="0.35">
      <c r="D27" s="44" t="s">
        <v>61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Z27" s="7"/>
      <c r="AA27" s="22"/>
      <c r="AB27" s="22"/>
    </row>
    <row r="28" spans="1:33" x14ac:dyDescent="0.35">
      <c r="D28">
        <f>AVERAGE(D17:D25,D15,D13:D14)</f>
        <v>0.28514195927446956</v>
      </c>
      <c r="E28">
        <f>AVERAGE(E17:E25,E15,E13:E14)</f>
        <v>11109.131460769657</v>
      </c>
      <c r="F28">
        <f>AVERAGE(F17:F19,F13:F14,F7:F9,F5:F6)</f>
        <v>0.43433333333333335</v>
      </c>
      <c r="G28">
        <f>F28/1000*60</f>
        <v>2.606E-2</v>
      </c>
      <c r="I28">
        <f>AVERAGE(I15:I26,I13:I13)</f>
        <v>1854.6153846153845</v>
      </c>
      <c r="J28">
        <f>AVERAGE(J15:J26,J13:J13)</f>
        <v>30.910256410256412</v>
      </c>
      <c r="K28">
        <f>AVERAGE(K13:K26)</f>
        <v>320.58357142857142</v>
      </c>
      <c r="P28" s="7">
        <f>AVERAGE(P16:P24,P13:P14)</f>
        <v>8.7537665753677236E-3</v>
      </c>
      <c r="Q28" s="7">
        <f>AVERAGE(Q16:Q24,Q13:Q14)</f>
        <v>2.1313402317625067E-2</v>
      </c>
      <c r="R28" s="7">
        <f>AVERAGE(R16:R24,R13:R13)</f>
        <v>1.4267394650859135</v>
      </c>
      <c r="Z28" s="22"/>
      <c r="AA28" s="7"/>
      <c r="AB28" s="7"/>
    </row>
    <row r="29" spans="1:33" x14ac:dyDescent="0.35">
      <c r="AA29" s="23"/>
      <c r="AB29" s="23"/>
    </row>
    <row r="30" spans="1:33" x14ac:dyDescent="0.35">
      <c r="D30" s="44" t="s">
        <v>127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33" x14ac:dyDescent="0.35">
      <c r="A31" s="43" t="s">
        <v>49</v>
      </c>
      <c r="D31" s="7"/>
      <c r="E31" s="7"/>
      <c r="Q31" s="14">
        <f>T33*I54*(0.000001)</f>
        <v>2.1369643891534014E-8</v>
      </c>
      <c r="R31" s="14"/>
      <c r="S31" t="s">
        <v>143</v>
      </c>
      <c r="T31" s="7"/>
      <c r="V31" s="2"/>
    </row>
    <row r="32" spans="1:33" x14ac:dyDescent="0.35">
      <c r="A32" s="43"/>
      <c r="B32" s="10" t="s">
        <v>120</v>
      </c>
      <c r="C32" s="10">
        <v>2018</v>
      </c>
      <c r="D32" s="16"/>
      <c r="E32" s="17"/>
      <c r="F32" s="10" t="s">
        <v>20</v>
      </c>
      <c r="G32" s="10" t="s">
        <v>20</v>
      </c>
      <c r="H32" s="10" t="s">
        <v>20</v>
      </c>
      <c r="I32" s="10" t="s">
        <v>20</v>
      </c>
      <c r="J32" s="10" t="s">
        <v>20</v>
      </c>
      <c r="K32" s="10">
        <f>$I$40</f>
        <v>225</v>
      </c>
      <c r="L32" s="16" t="s">
        <v>20</v>
      </c>
      <c r="M32" s="16" t="s">
        <v>20</v>
      </c>
      <c r="N32" s="16">
        <f>O32/1000</f>
        <v>1.3712553831836506E-9</v>
      </c>
      <c r="O32" s="16">
        <f>P32*K32</f>
        <v>1.3712553831836507E-6</v>
      </c>
      <c r="P32" s="16">
        <f>T33*$I$52*(0.000001)/$D$38/I40*1000</f>
        <v>6.0944683697051142E-9</v>
      </c>
      <c r="Q32" s="14">
        <f>P32*60*$D$42</f>
        <v>2.1369643891534014E-8</v>
      </c>
      <c r="R32" s="14"/>
      <c r="S32" t="s">
        <v>142</v>
      </c>
      <c r="T32">
        <v>10</v>
      </c>
      <c r="U32" t="s">
        <v>132</v>
      </c>
      <c r="V32" s="7">
        <f>T32/A37</f>
        <v>8.3056478405315621E-3</v>
      </c>
      <c r="W32" t="s">
        <v>4</v>
      </c>
    </row>
    <row r="33" spans="1:26" x14ac:dyDescent="0.35">
      <c r="T33">
        <f>T32/1000</f>
        <v>0.01</v>
      </c>
      <c r="U33" t="s">
        <v>145</v>
      </c>
      <c r="V33">
        <f>T32/1000/1000</f>
        <v>1.0000000000000001E-5</v>
      </c>
      <c r="W33" t="s">
        <v>60</v>
      </c>
    </row>
    <row r="35" spans="1:26" ht="30" customHeight="1" x14ac:dyDescent="0.5">
      <c r="A35" s="41" t="s">
        <v>139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Z35" s="7"/>
    </row>
    <row r="36" spans="1:26" ht="18.5" x14ac:dyDescent="0.45">
      <c r="A36" s="40" t="s">
        <v>141</v>
      </c>
      <c r="B36" s="40"/>
      <c r="D36" s="40" t="s">
        <v>135</v>
      </c>
      <c r="E36" s="40"/>
      <c r="F36" s="40"/>
      <c r="H36" s="40" t="s">
        <v>137</v>
      </c>
      <c r="I36" s="40"/>
      <c r="J36" s="40"/>
      <c r="L36" s="34" t="s">
        <v>138</v>
      </c>
      <c r="M36" s="34"/>
      <c r="N36" s="34"/>
      <c r="O36" s="34"/>
      <c r="P36" s="34"/>
      <c r="Q36" s="34"/>
      <c r="R36" s="34"/>
      <c r="S36" s="34"/>
      <c r="Z36" s="7"/>
    </row>
    <row r="37" spans="1:26" x14ac:dyDescent="0.35">
      <c r="A37" s="7">
        <v>1204</v>
      </c>
      <c r="B37" s="7" t="s">
        <v>104</v>
      </c>
      <c r="D37" s="39" t="s">
        <v>3</v>
      </c>
      <c r="E37" s="39"/>
      <c r="F37" s="39"/>
      <c r="H37" s="11" t="s">
        <v>65</v>
      </c>
      <c r="I37" s="12">
        <f xml:space="preserve"> 9.648533*10^4</f>
        <v>96485.33</v>
      </c>
      <c r="J37" s="10" t="s">
        <v>66</v>
      </c>
      <c r="L37" s="29" t="s">
        <v>50</v>
      </c>
      <c r="M37" s="29">
        <v>11.76</v>
      </c>
      <c r="N37" s="29" t="s">
        <v>25</v>
      </c>
      <c r="O37" s="29" t="s">
        <v>97</v>
      </c>
      <c r="P37" s="31">
        <f xml:space="preserve"> 9.648533*10^4</f>
        <v>96485.33</v>
      </c>
      <c r="Q37" s="29" t="s">
        <v>66</v>
      </c>
      <c r="R37" s="29"/>
      <c r="S37" s="29"/>
    </row>
    <row r="38" spans="1:26" x14ac:dyDescent="0.35">
      <c r="A38" s="7">
        <f>1000/A37</f>
        <v>0.83056478405315615</v>
      </c>
      <c r="B38" t="s">
        <v>136</v>
      </c>
      <c r="D38">
        <v>58.44</v>
      </c>
      <c r="E38" t="s">
        <v>2</v>
      </c>
      <c r="H38" s="11" t="s">
        <v>67</v>
      </c>
      <c r="I38" s="10">
        <v>4</v>
      </c>
      <c r="J38" s="10" t="s">
        <v>68</v>
      </c>
      <c r="L38" s="29" t="s">
        <v>119</v>
      </c>
      <c r="M38" s="29">
        <v>220</v>
      </c>
      <c r="N38" s="29" t="s">
        <v>25</v>
      </c>
      <c r="O38" s="29" t="s">
        <v>98</v>
      </c>
      <c r="P38" s="29">
        <v>4</v>
      </c>
      <c r="Q38" s="29"/>
      <c r="R38" s="29"/>
      <c r="S38" s="29"/>
      <c r="T38" s="7"/>
    </row>
    <row r="39" spans="1:26" x14ac:dyDescent="0.35">
      <c r="D39">
        <f>D38*1000</f>
        <v>58440</v>
      </c>
      <c r="E39" t="s">
        <v>6</v>
      </c>
      <c r="H39" s="11" t="s">
        <v>69</v>
      </c>
      <c r="I39" s="10">
        <v>225</v>
      </c>
      <c r="J39" s="10" t="s">
        <v>70</v>
      </c>
      <c r="L39" s="29" t="s">
        <v>121</v>
      </c>
      <c r="M39" s="29">
        <v>0.5</v>
      </c>
      <c r="N39" s="29" t="s">
        <v>118</v>
      </c>
      <c r="O39" s="29" t="s">
        <v>75</v>
      </c>
      <c r="P39" s="29">
        <v>0.21</v>
      </c>
      <c r="Q39" s="29" t="s">
        <v>76</v>
      </c>
      <c r="R39" s="29"/>
      <c r="S39" s="29"/>
    </row>
    <row r="40" spans="1:26" x14ac:dyDescent="0.35">
      <c r="B40" s="1"/>
      <c r="D40">
        <f>1/D38</f>
        <v>1.7111567419575632E-2</v>
      </c>
      <c r="E40" t="s">
        <v>31</v>
      </c>
      <c r="H40" s="11" t="s">
        <v>50</v>
      </c>
      <c r="I40" s="10">
        <f xml:space="preserve"> 15*15</f>
        <v>225</v>
      </c>
      <c r="J40" s="10" t="s">
        <v>25</v>
      </c>
      <c r="L40" s="29" t="s">
        <v>113</v>
      </c>
      <c r="M40" s="29">
        <v>5</v>
      </c>
      <c r="N40" s="29"/>
      <c r="O40" s="29" t="s">
        <v>101</v>
      </c>
      <c r="P40" s="29">
        <v>8.3144620000000007</v>
      </c>
      <c r="Q40" s="29" t="s">
        <v>102</v>
      </c>
      <c r="R40" s="29"/>
      <c r="S40" s="29"/>
    </row>
    <row r="41" spans="1:26" x14ac:dyDescent="0.35">
      <c r="D41">
        <f>D38*10000000/10000</f>
        <v>58440</v>
      </c>
      <c r="E41" t="s">
        <v>87</v>
      </c>
      <c r="L41" s="29" t="s">
        <v>114</v>
      </c>
      <c r="M41" s="29">
        <v>2</v>
      </c>
      <c r="N41" s="29"/>
      <c r="O41" s="29" t="s">
        <v>99</v>
      </c>
      <c r="P41" s="29">
        <f>$P$40*(273.15+25)/101325</f>
        <v>2.4465401878114978E-2</v>
      </c>
      <c r="Q41" s="29" t="s">
        <v>100</v>
      </c>
      <c r="R41" s="29">
        <f>P41*1000</f>
        <v>24.465401878114978</v>
      </c>
      <c r="S41" s="29" t="s">
        <v>81</v>
      </c>
    </row>
    <row r="42" spans="1:26" x14ac:dyDescent="0.35">
      <c r="C42" s="47" t="s">
        <v>74</v>
      </c>
      <c r="D42">
        <f>D38/1000</f>
        <v>5.8439999999999999E-2</v>
      </c>
      <c r="E42" t="s">
        <v>90</v>
      </c>
      <c r="H42" s="11" t="s">
        <v>71</v>
      </c>
      <c r="I42" s="10">
        <f>I39/(I37*I38)</f>
        <v>5.829901809943543E-4</v>
      </c>
      <c r="J42" s="10" t="s">
        <v>72</v>
      </c>
      <c r="L42" s="29" t="s">
        <v>117</v>
      </c>
      <c r="M42" s="29">
        <v>5</v>
      </c>
      <c r="N42" s="29"/>
      <c r="O42" s="29"/>
      <c r="P42" s="29"/>
      <c r="Q42" s="29"/>
      <c r="R42" s="29"/>
      <c r="S42" s="29"/>
    </row>
    <row r="43" spans="1:26" x14ac:dyDescent="0.35">
      <c r="C43" s="47"/>
      <c r="D43" s="39" t="s">
        <v>15</v>
      </c>
      <c r="E43" s="39"/>
      <c r="F43" s="39"/>
      <c r="H43" s="1" t="s">
        <v>75</v>
      </c>
      <c r="I43">
        <v>0.21</v>
      </c>
      <c r="J43" t="s">
        <v>76</v>
      </c>
      <c r="L43" s="30" t="s">
        <v>115</v>
      </c>
      <c r="M43" s="29"/>
      <c r="N43" s="29"/>
      <c r="O43" s="29"/>
      <c r="P43" s="30" t="s">
        <v>116</v>
      </c>
      <c r="Q43" s="29"/>
      <c r="R43" s="29"/>
      <c r="S43" s="29"/>
    </row>
    <row r="44" spans="1:26" x14ac:dyDescent="0.35">
      <c r="C44" s="47"/>
      <c r="D44">
        <f>22.98+1.008</f>
        <v>23.988</v>
      </c>
      <c r="E44" t="s">
        <v>2</v>
      </c>
      <c r="H44" s="11" t="s">
        <v>73</v>
      </c>
      <c r="I44" s="10">
        <f>I42/I43</f>
        <v>2.7761437190207349E-3</v>
      </c>
      <c r="J44" s="10" t="s">
        <v>72</v>
      </c>
      <c r="L44" s="29" t="s">
        <v>92</v>
      </c>
      <c r="M44" s="29">
        <f>$M$39*M37/($P$38*$P$37)</f>
        <v>1.523547672998579E-5</v>
      </c>
      <c r="N44" s="29" t="s">
        <v>93</v>
      </c>
      <c r="O44" s="29"/>
      <c r="P44" s="29" t="s">
        <v>92</v>
      </c>
      <c r="Q44" s="29">
        <f>$M$39*$M$38/($P$38*$P$37)*$M$42</f>
        <v>1.4250871090973104E-3</v>
      </c>
      <c r="R44" s="29" t="s">
        <v>93</v>
      </c>
      <c r="S44" s="29"/>
    </row>
    <row r="45" spans="1:26" ht="18.5" x14ac:dyDescent="0.45">
      <c r="C45" s="48" t="s">
        <v>83</v>
      </c>
      <c r="D45">
        <f>D44*1000</f>
        <v>23988</v>
      </c>
      <c r="E45" t="s">
        <v>6</v>
      </c>
      <c r="H45" s="1" t="s">
        <v>77</v>
      </c>
      <c r="I45">
        <v>2</v>
      </c>
      <c r="L45" s="29" t="s">
        <v>94</v>
      </c>
      <c r="M45" s="29">
        <f>M44/$P$39</f>
        <v>7.2549889190408532E-5</v>
      </c>
      <c r="N45" s="29" t="s">
        <v>93</v>
      </c>
      <c r="O45" s="29"/>
      <c r="P45" s="29" t="s">
        <v>94</v>
      </c>
      <c r="Q45" s="29">
        <f>Q44/$P$39</f>
        <v>6.7861290909395737E-3</v>
      </c>
      <c r="R45" s="29" t="s">
        <v>93</v>
      </c>
      <c r="S45" s="29"/>
      <c r="X45" s="32"/>
    </row>
    <row r="46" spans="1:26" x14ac:dyDescent="0.35">
      <c r="C46" s="48"/>
      <c r="H46" s="11" t="s">
        <v>73</v>
      </c>
      <c r="I46" s="10">
        <f>I44*I45</f>
        <v>5.5522874380414698E-3</v>
      </c>
      <c r="J46" s="10" t="s">
        <v>72</v>
      </c>
      <c r="L46" s="29"/>
      <c r="M46" s="29">
        <f>M45*60</f>
        <v>4.3529933514245122E-3</v>
      </c>
      <c r="N46" s="29" t="s">
        <v>1</v>
      </c>
      <c r="O46" s="29"/>
      <c r="P46" s="29"/>
      <c r="Q46" s="29">
        <f>Q45*60</f>
        <v>0.40716774545637441</v>
      </c>
      <c r="R46" s="29" t="s">
        <v>1</v>
      </c>
      <c r="S46" s="29"/>
    </row>
    <row r="47" spans="1:26" x14ac:dyDescent="0.35">
      <c r="C47" s="48"/>
      <c r="D47" s="39" t="s">
        <v>134</v>
      </c>
      <c r="E47" s="39"/>
      <c r="F47" s="39"/>
      <c r="H47" s="1" t="s">
        <v>80</v>
      </c>
      <c r="I47">
        <v>22.4</v>
      </c>
      <c r="J47" t="s">
        <v>81</v>
      </c>
      <c r="L47" s="29" t="s">
        <v>95</v>
      </c>
      <c r="M47" s="29">
        <f>M46*M40*P41</f>
        <v>5.3248865857681636E-4</v>
      </c>
      <c r="N47" s="29" t="s">
        <v>103</v>
      </c>
      <c r="O47" s="29"/>
      <c r="P47" s="29" t="s">
        <v>95</v>
      </c>
      <c r="Q47" s="29">
        <f>Q46*M41*P41</f>
        <v>1.9923045048792446E-2</v>
      </c>
      <c r="R47" s="29" t="s">
        <v>103</v>
      </c>
      <c r="S47" s="29"/>
    </row>
    <row r="48" spans="1:26" x14ac:dyDescent="0.35">
      <c r="C48" s="48"/>
      <c r="E48" t="s">
        <v>5</v>
      </c>
      <c r="F48" t="s">
        <v>4</v>
      </c>
      <c r="H48" s="11" t="s">
        <v>78</v>
      </c>
      <c r="I48" s="10">
        <f>I46*I47</f>
        <v>0.12437123861212891</v>
      </c>
      <c r="J48" s="10" t="s">
        <v>79</v>
      </c>
      <c r="L48" s="29"/>
      <c r="M48" s="29">
        <f>M47*60</f>
        <v>3.1949319514608984E-2</v>
      </c>
      <c r="N48" s="29" t="s">
        <v>57</v>
      </c>
      <c r="O48" s="29"/>
      <c r="P48" s="29"/>
      <c r="Q48" s="29">
        <f>Q47*60</f>
        <v>1.1953827029275468</v>
      </c>
      <c r="R48" s="29" t="s">
        <v>57</v>
      </c>
      <c r="S48" s="29"/>
    </row>
    <row r="49" spans="3:19" x14ac:dyDescent="0.35">
      <c r="C49" s="48"/>
      <c r="D49" t="s">
        <v>7</v>
      </c>
      <c r="E49">
        <v>1</v>
      </c>
      <c r="F49">
        <f>E49*D39</f>
        <v>58440</v>
      </c>
      <c r="I49" s="13">
        <f>I48*60</f>
        <v>7.4622743167277346</v>
      </c>
      <c r="J49" s="13" t="s">
        <v>82</v>
      </c>
      <c r="L49" s="29"/>
      <c r="M49" s="29"/>
      <c r="N49" s="29"/>
      <c r="O49" s="29"/>
      <c r="P49" s="29"/>
      <c r="Q49" s="29"/>
      <c r="R49" s="29"/>
      <c r="S49" s="29"/>
    </row>
    <row r="50" spans="3:19" ht="14.5" customHeight="1" x14ac:dyDescent="0.35">
      <c r="C50" s="46" t="s">
        <v>84</v>
      </c>
      <c r="D50" t="s">
        <v>8</v>
      </c>
      <c r="E50">
        <f>F50/D39</f>
        <v>1.7111567419575633E-5</v>
      </c>
      <c r="F50">
        <v>1</v>
      </c>
      <c r="H50" s="1" t="s">
        <v>85</v>
      </c>
      <c r="I50">
        <v>24.055</v>
      </c>
      <c r="J50" t="s">
        <v>81</v>
      </c>
      <c r="L50" s="29" t="s">
        <v>110</v>
      </c>
      <c r="M50" s="29">
        <f>T20/1000*$M$48/$M$37</f>
        <v>1.35838943514494E-2</v>
      </c>
      <c r="N50" s="29" t="s">
        <v>89</v>
      </c>
      <c r="O50" s="29"/>
      <c r="P50" s="29" t="s">
        <v>110</v>
      </c>
      <c r="Q50" s="29">
        <f>T22/1000*$Q$48/($M$38*$M$42)</f>
        <v>5.4335577405797584E-3</v>
      </c>
      <c r="R50" s="29" t="s">
        <v>89</v>
      </c>
      <c r="S50" s="29"/>
    </row>
    <row r="51" spans="3:19" ht="14.5" customHeight="1" x14ac:dyDescent="0.35">
      <c r="C51" s="46"/>
      <c r="D51" t="s">
        <v>36</v>
      </c>
      <c r="E51">
        <v>1</v>
      </c>
      <c r="F51">
        <f>D45*E51</f>
        <v>23988</v>
      </c>
      <c r="H51" s="11" t="s">
        <v>78</v>
      </c>
      <c r="I51" s="10">
        <f>I46*I50</f>
        <v>0.13356027432208756</v>
      </c>
      <c r="J51" s="10" t="s">
        <v>79</v>
      </c>
      <c r="L51" s="29" t="s">
        <v>111</v>
      </c>
      <c r="M51" s="29">
        <f>T21/1000*$M$48/$M$37</f>
        <v>2.7167788702898797E-5</v>
      </c>
      <c r="N51" s="29" t="s">
        <v>89</v>
      </c>
      <c r="O51" s="29"/>
      <c r="P51" s="29" t="s">
        <v>112</v>
      </c>
      <c r="Q51" s="29">
        <f>T23/1000*$Q$48/($M$38*$M$42)</f>
        <v>5.4335577405797584E-4</v>
      </c>
      <c r="R51" s="29" t="s">
        <v>89</v>
      </c>
      <c r="S51" s="29"/>
    </row>
    <row r="52" spans="3:19" x14ac:dyDescent="0.35">
      <c r="C52" s="46"/>
      <c r="D52" t="s">
        <v>37</v>
      </c>
      <c r="E52">
        <f>F52/D45</f>
        <v>4.1687510421877605E-5</v>
      </c>
      <c r="F52">
        <v>1</v>
      </c>
      <c r="I52" s="13">
        <f>I51*60</f>
        <v>8.0136164593252541</v>
      </c>
      <c r="J52" s="13" t="s">
        <v>86</v>
      </c>
    </row>
    <row r="53" spans="3:19" x14ac:dyDescent="0.35">
      <c r="I53">
        <f>I52/I40</f>
        <v>3.5616073152556688E-2</v>
      </c>
      <c r="J53" t="s">
        <v>88</v>
      </c>
    </row>
    <row r="54" spans="3:19" x14ac:dyDescent="0.35">
      <c r="D54" s="33" t="s">
        <v>51</v>
      </c>
      <c r="I54">
        <f>I53*60</f>
        <v>2.1369643891534014</v>
      </c>
      <c r="J54" t="s">
        <v>91</v>
      </c>
    </row>
  </sheetData>
  <sortState xmlns:xlrd2="http://schemas.microsoft.com/office/spreadsheetml/2017/richdata2" ref="A4:X26">
    <sortCondition ref="A4:A26"/>
    <sortCondition ref="S4:S26"/>
  </sortState>
  <mergeCells count="23">
    <mergeCell ref="S20:S23"/>
    <mergeCell ref="A36:B36"/>
    <mergeCell ref="C50:C52"/>
    <mergeCell ref="C42:C44"/>
    <mergeCell ref="C45:C49"/>
    <mergeCell ref="I2:J2"/>
    <mergeCell ref="D2:E2"/>
    <mergeCell ref="L36:S36"/>
    <mergeCell ref="U2:X2"/>
    <mergeCell ref="S7:S9"/>
    <mergeCell ref="S10:S11"/>
    <mergeCell ref="D47:F47"/>
    <mergeCell ref="D36:F36"/>
    <mergeCell ref="D37:F37"/>
    <mergeCell ref="D43:F43"/>
    <mergeCell ref="H36:J36"/>
    <mergeCell ref="A35:S35"/>
    <mergeCell ref="T12:X12"/>
    <mergeCell ref="A31:A32"/>
    <mergeCell ref="D27:S27"/>
    <mergeCell ref="D30:S30"/>
    <mergeCell ref="F2:G2"/>
    <mergeCell ref="A2:B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4483C262A90A4FBDA7716504E39C01" ma:contentTypeVersion="11" ma:contentTypeDescription="Een nieuw document maken." ma:contentTypeScope="" ma:versionID="52bb88acc0caaf499149f96d9f94adb3">
  <xsd:schema xmlns:xsd="http://www.w3.org/2001/XMLSchema" xmlns:xs="http://www.w3.org/2001/XMLSchema" xmlns:p="http://schemas.microsoft.com/office/2006/metadata/properties" xmlns:ns3="e539c893-bf68-492d-8892-74b3a80798c1" xmlns:ns4="3333b8df-033a-4766-bc9f-b2c0571e2f56" targetNamespace="http://schemas.microsoft.com/office/2006/metadata/properties" ma:root="true" ma:fieldsID="e37bfd6d24f204fa6631a33275ac5a38" ns3:_="" ns4:_="">
    <xsd:import namespace="e539c893-bf68-492d-8892-74b3a80798c1"/>
    <xsd:import namespace="3333b8df-033a-4766-bc9f-b2c0571e2f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9c893-bf68-492d-8892-74b3a80798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3b8df-033a-4766-bc9f-b2c0571e2f5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52E6C3-E4B6-4969-BD0E-1E7034ECE2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7988FD-90C1-4EB1-85A4-C1492A22191B}">
  <ds:schemaRefs>
    <ds:schemaRef ds:uri="http://schemas.openxmlformats.org/package/2006/metadata/core-properties"/>
    <ds:schemaRef ds:uri="http://schemas.microsoft.com/office/2006/documentManagement/types"/>
    <ds:schemaRef ds:uri="e539c893-bf68-492d-8892-74b3a80798c1"/>
    <ds:schemaRef ds:uri="http://purl.org/dc/terms/"/>
    <ds:schemaRef ds:uri="http://www.w3.org/XML/1998/namespace"/>
    <ds:schemaRef ds:uri="http://schemas.microsoft.com/office/infopath/2007/PartnerControls"/>
    <ds:schemaRef ds:uri="3333b8df-033a-4766-bc9f-b2c0571e2f56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E68B491-0941-48F8-B00E-A4BCC1E58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9c893-bf68-492d-8892-74b3a80798c1"/>
    <ds:schemaRef ds:uri="3333b8df-033a-4766-bc9f-b2c0571e2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Concentrations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Annabel Broer</cp:lastModifiedBy>
  <dcterms:created xsi:type="dcterms:W3CDTF">2022-10-15T12:48:39Z</dcterms:created>
  <dcterms:modified xsi:type="dcterms:W3CDTF">2025-02-10T21:41:59Z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0x0101001C4483C262A90A4FBDA7716504E39C01</vt:lpwstr>
  </property>
</Properties>
</file>