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sebielefeld\OneDrive - Delft University of Technology\Documents\03_PhD Research\05_Paper2\03_Repository\Input data\"/>
    </mc:Choice>
  </mc:AlternateContent>
  <xr:revisionPtr revIDLastSave="0" documentId="8_{BB5D44AE-0FE2-42BF-B12C-E3AA52D58584}" xr6:coauthVersionLast="47" xr6:coauthVersionMax="47" xr10:uidLastSave="{00000000-0000-0000-0000-000000000000}"/>
  <bookViews>
    <workbookView xWindow="-120" yWindow="-120" windowWidth="29040" windowHeight="15840" xr2:uid="{8F99143A-D4C2-42C7-ADFB-3A47DD6E3935}"/>
  </bookViews>
  <sheets>
    <sheet name="Sheet1" sheetId="1" r:id="rId1"/>
    <sheet name="evaporation losses assump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1" l="1"/>
  <c r="I23" i="1"/>
  <c r="I24" i="1"/>
  <c r="I25" i="1"/>
  <c r="I26" i="1"/>
  <c r="I27" i="1"/>
  <c r="I28" i="1"/>
  <c r="I29" i="1"/>
  <c r="I21" i="1"/>
  <c r="J22" i="1"/>
  <c r="J23" i="1"/>
  <c r="J24" i="1"/>
  <c r="J25" i="1"/>
  <c r="J26" i="1"/>
  <c r="J27" i="1"/>
  <c r="J28" i="1"/>
  <c r="J29" i="1"/>
  <c r="J21" i="1"/>
  <c r="J12" i="1"/>
  <c r="J13" i="1"/>
  <c r="J14" i="1"/>
  <c r="J15" i="1"/>
  <c r="J16" i="1"/>
  <c r="J17" i="1"/>
  <c r="J18" i="1"/>
  <c r="J11" i="1"/>
  <c r="J10" i="1"/>
  <c r="I14" i="1"/>
  <c r="I15" i="1"/>
  <c r="I16" i="1"/>
  <c r="I17" i="1"/>
  <c r="I18" i="1"/>
  <c r="I13" i="1"/>
  <c r="I12" i="1"/>
  <c r="I11" i="1"/>
  <c r="I10" i="1"/>
  <c r="M34" i="1"/>
  <c r="L34" i="1"/>
  <c r="Q36" i="1"/>
  <c r="Q35" i="1"/>
  <c r="M85" i="1" l="1"/>
  <c r="M72" i="1"/>
  <c r="M59" i="1"/>
  <c r="M46" i="1"/>
  <c r="M33" i="1" l="1"/>
  <c r="O59" i="1"/>
  <c r="O85" i="1" l="1"/>
  <c r="O72" i="1"/>
  <c r="B4" i="2" l="1"/>
  <c r="G2" i="2"/>
  <c r="B2" i="2"/>
  <c r="E15" i="1" l="1"/>
  <c r="F15" i="1"/>
  <c r="E16" i="1"/>
  <c r="F16" i="1"/>
  <c r="E17" i="1"/>
  <c r="F17" i="1"/>
  <c r="E18" i="1"/>
  <c r="F18" i="1"/>
  <c r="G17" i="1" l="1"/>
  <c r="G16" i="1"/>
  <c r="H17" i="1"/>
  <c r="L17" i="1" s="1"/>
  <c r="O17" i="1" s="1"/>
  <c r="G18" i="1"/>
  <c r="H15" i="1"/>
  <c r="L15" i="1" s="1"/>
  <c r="O15" i="1" s="1"/>
  <c r="H16" i="1"/>
  <c r="L16" i="1" s="1"/>
  <c r="O16" i="1" s="1"/>
  <c r="G15" i="1"/>
  <c r="H18" i="1"/>
  <c r="L18" i="1" s="1"/>
  <c r="O18" i="1" s="1"/>
  <c r="M82" i="1"/>
  <c r="M79" i="1"/>
  <c r="O87" i="1" s="1"/>
  <c r="M69" i="1"/>
  <c r="M66" i="1"/>
  <c r="O74" i="1" s="1"/>
  <c r="M56" i="1"/>
  <c r="M53" i="1"/>
  <c r="O61" i="1" s="1"/>
  <c r="F39" i="1" l="1"/>
  <c r="E39" i="1"/>
  <c r="F29" i="1"/>
  <c r="E29" i="1"/>
  <c r="F28" i="1"/>
  <c r="E28" i="1"/>
  <c r="F27" i="1"/>
  <c r="E27" i="1"/>
  <c r="F26" i="1"/>
  <c r="E26" i="1"/>
  <c r="H26" i="1" s="1"/>
  <c r="L26" i="1" s="1"/>
  <c r="F25" i="1"/>
  <c r="E25" i="1"/>
  <c r="F24" i="1"/>
  <c r="E24" i="1"/>
  <c r="F23" i="1"/>
  <c r="E23" i="1"/>
  <c r="F22" i="1"/>
  <c r="E22" i="1"/>
  <c r="H22" i="1" s="1"/>
  <c r="L22" i="1" s="1"/>
  <c r="F21" i="1"/>
  <c r="E21" i="1"/>
  <c r="H39" i="1" l="1"/>
  <c r="J39" i="1" s="1"/>
  <c r="L39" i="1" s="1"/>
  <c r="O39" i="1" s="1"/>
  <c r="O40" i="1" s="1"/>
  <c r="O41" i="1" s="1"/>
  <c r="O46" i="1" s="1"/>
  <c r="G39" i="1"/>
  <c r="I39" i="1" s="1"/>
  <c r="H23" i="1"/>
  <c r="L23" i="1" s="1"/>
  <c r="O23" i="1" s="1"/>
  <c r="H21" i="1"/>
  <c r="L21" i="1" s="1"/>
  <c r="O21" i="1" s="1"/>
  <c r="H27" i="1"/>
  <c r="L27" i="1" s="1"/>
  <c r="O27" i="1" s="1"/>
  <c r="H25" i="1"/>
  <c r="L25" i="1" s="1"/>
  <c r="O25" i="1" s="1"/>
  <c r="H29" i="1"/>
  <c r="L29" i="1" s="1"/>
  <c r="O29" i="1" s="1"/>
  <c r="G22" i="1"/>
  <c r="G26" i="1"/>
  <c r="H28" i="1"/>
  <c r="L28" i="1" s="1"/>
  <c r="O28" i="1" s="1"/>
  <c r="G29" i="1"/>
  <c r="G23" i="1"/>
  <c r="G21" i="1"/>
  <c r="H24" i="1"/>
  <c r="L24" i="1" s="1"/>
  <c r="O24" i="1" s="1"/>
  <c r="G27" i="1"/>
  <c r="G25" i="1"/>
  <c r="O26" i="1"/>
  <c r="O22" i="1"/>
  <c r="G24" i="1"/>
  <c r="G28" i="1"/>
  <c r="R6" i="1"/>
  <c r="M16" i="1" l="1"/>
  <c r="N16" i="1" s="1"/>
  <c r="M17" i="1"/>
  <c r="N17" i="1" s="1"/>
  <c r="M15" i="1"/>
  <c r="N15" i="1" s="1"/>
  <c r="M18" i="1"/>
  <c r="N18" i="1" s="1"/>
  <c r="M39" i="1"/>
  <c r="M40" i="1" s="1"/>
  <c r="O48" i="1" s="1"/>
  <c r="M29" i="1"/>
  <c r="N29" i="1" s="1"/>
  <c r="M28" i="1"/>
  <c r="N28" i="1" s="1"/>
  <c r="M24" i="1"/>
  <c r="N24" i="1" s="1"/>
  <c r="M25" i="1"/>
  <c r="N25" i="1" s="1"/>
  <c r="M27" i="1"/>
  <c r="N27" i="1" s="1"/>
  <c r="O30" i="1"/>
  <c r="O31" i="1" s="1"/>
  <c r="O34" i="1" s="1"/>
  <c r="M21" i="1"/>
  <c r="M22" i="1"/>
  <c r="N22" i="1" s="1"/>
  <c r="M23" i="1"/>
  <c r="N23" i="1" s="1"/>
  <c r="M26" i="1"/>
  <c r="N26" i="1" s="1"/>
  <c r="E12" i="1"/>
  <c r="F12" i="1"/>
  <c r="E13" i="1"/>
  <c r="F13" i="1"/>
  <c r="G13" i="1" s="1"/>
  <c r="F11" i="1"/>
  <c r="F14" i="1"/>
  <c r="F10" i="1"/>
  <c r="E14" i="1"/>
  <c r="E11" i="1"/>
  <c r="E10" i="1"/>
  <c r="N39" i="1" l="1"/>
  <c r="G11" i="1"/>
  <c r="G12" i="1"/>
  <c r="G14" i="1"/>
  <c r="M30" i="1"/>
  <c r="O36" i="1" s="1"/>
  <c r="N21" i="1"/>
  <c r="G10" i="1"/>
  <c r="H13" i="1"/>
  <c r="L13" i="1" s="1"/>
  <c r="M13" i="1" s="1"/>
  <c r="H12" i="1"/>
  <c r="L12" i="1" s="1"/>
  <c r="M12" i="1" s="1"/>
  <c r="H14" i="1"/>
  <c r="L14" i="1" s="1"/>
  <c r="H10" i="1"/>
  <c r="L10" i="1" s="1"/>
  <c r="M10" i="1" s="1"/>
  <c r="H11" i="1"/>
  <c r="L11" i="1" s="1"/>
  <c r="N10" i="1" l="1"/>
  <c r="O11" i="1"/>
  <c r="M11" i="1"/>
  <c r="N11" i="1" s="1"/>
  <c r="O14" i="1"/>
  <c r="M14" i="1"/>
  <c r="N13" i="1"/>
  <c r="O13" i="1"/>
  <c r="O10" i="1"/>
  <c r="N12" i="1"/>
  <c r="O12" i="1"/>
  <c r="O19" i="1" l="1"/>
  <c r="O20" i="1" s="1"/>
  <c r="O33" i="1" s="1"/>
  <c r="M19" i="1"/>
  <c r="O35" i="1" s="1"/>
  <c r="N1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Svenja Bielefeld</author>
  </authors>
  <commentList>
    <comment ref="M9" authorId="0" shapeId="0" xr:uid="{99D876CA-D9AF-4D65-8C50-92FE6E8B6BE4}">
      <text>
        <r>
          <rPr>
            <b/>
            <sz val="9"/>
            <color indexed="81"/>
            <rFont val="Tahoma"/>
            <family val="2"/>
          </rPr>
          <t>Svenja Bielefeld:</t>
        </r>
        <r>
          <rPr>
            <sz val="9"/>
            <color indexed="81"/>
            <rFont val="Tahoma"/>
            <family val="2"/>
          </rPr>
          <t xml:space="preserve">
assuming 8000h/y plant operation</t>
        </r>
      </text>
    </comment>
    <comment ref="O9" authorId="0" shapeId="0" xr:uid="{1365538E-7517-4304-B2A8-18734F34B7B7}">
      <text>
        <r>
          <rPr>
            <b/>
            <sz val="9"/>
            <color indexed="81"/>
            <rFont val="Tahoma"/>
            <family val="2"/>
          </rPr>
          <t>Svenja Bielefeld:</t>
        </r>
        <r>
          <rPr>
            <sz val="9"/>
            <color indexed="81"/>
            <rFont val="Tahoma"/>
            <family val="2"/>
          </rPr>
          <t xml:space="preserve">
Assuming 8000 operating hours per year</t>
        </r>
      </text>
    </comment>
    <comment ref="M38" authorId="0" shapeId="0" xr:uid="{71C54B07-56FB-4B2C-92D7-D5AC76F2E6BC}">
      <text>
        <r>
          <rPr>
            <b/>
            <sz val="9"/>
            <color indexed="81"/>
            <rFont val="Tahoma"/>
            <family val="2"/>
          </rPr>
          <t>Svenja Bielefeld:</t>
        </r>
        <r>
          <rPr>
            <sz val="9"/>
            <color indexed="81"/>
            <rFont val="Tahoma"/>
            <family val="2"/>
          </rPr>
          <t xml:space="preserve">
assuming 8000h/y plant operation</t>
        </r>
      </text>
    </comment>
    <comment ref="O38" authorId="0" shapeId="0" xr:uid="{2F3C8B53-BFB2-4111-90AB-9EABC5FADE8C}">
      <text>
        <r>
          <rPr>
            <b/>
            <sz val="9"/>
            <color indexed="81"/>
            <rFont val="Tahoma"/>
            <family val="2"/>
          </rPr>
          <t>Svenja Bielefeld:</t>
        </r>
        <r>
          <rPr>
            <sz val="9"/>
            <color indexed="81"/>
            <rFont val="Tahoma"/>
            <family val="2"/>
          </rPr>
          <t xml:space="preserve">
Assuming 8000 operating hours per year</t>
        </r>
      </text>
    </comment>
    <comment ref="K39" authorId="0" shapeId="0" xr:uid="{5F3B5DC9-5E1D-408D-AB25-C55BFF893E8B}">
      <text>
        <r>
          <rPr>
            <b/>
            <sz val="9"/>
            <color indexed="81"/>
            <rFont val="Tahoma"/>
            <family val="2"/>
          </rPr>
          <t>Svenja Bielefeld:</t>
        </r>
        <r>
          <rPr>
            <sz val="9"/>
            <color indexed="81"/>
            <rFont val="Tahoma"/>
            <family val="2"/>
          </rPr>
          <t xml:space="preserve">
from Michael via Teams, slightly different from number in process data sheet</t>
        </r>
      </text>
    </comment>
    <comment ref="M51" authorId="0" shapeId="0" xr:uid="{3B1804AD-23F4-45AD-BDEF-39F19FAD4EFB}">
      <text>
        <r>
          <rPr>
            <b/>
            <sz val="9"/>
            <color indexed="81"/>
            <rFont val="Tahoma"/>
            <family val="2"/>
          </rPr>
          <t>Svenja Bielefeld:</t>
        </r>
        <r>
          <rPr>
            <sz val="9"/>
            <color indexed="81"/>
            <rFont val="Tahoma"/>
            <family val="2"/>
          </rPr>
          <t xml:space="preserve">
assuming 8000h/y plant operation</t>
        </r>
      </text>
    </comment>
    <comment ref="O51" authorId="0" shapeId="0" xr:uid="{F1F90F68-9430-4BDF-8DCC-0AFB9BD68BF1}">
      <text>
        <r>
          <rPr>
            <b/>
            <sz val="9"/>
            <color indexed="81"/>
            <rFont val="Tahoma"/>
            <family val="2"/>
          </rPr>
          <t>Svenja Bielefeld:</t>
        </r>
        <r>
          <rPr>
            <sz val="9"/>
            <color indexed="81"/>
            <rFont val="Tahoma"/>
            <family val="2"/>
          </rPr>
          <t xml:space="preserve">
Assuming 8000 operating hours per year</t>
        </r>
      </text>
    </comment>
    <comment ref="M64" authorId="0" shapeId="0" xr:uid="{3D24D713-121B-49D5-BDED-AAC47BC4B6CB}">
      <text>
        <r>
          <rPr>
            <b/>
            <sz val="9"/>
            <color indexed="81"/>
            <rFont val="Tahoma"/>
            <family val="2"/>
          </rPr>
          <t>Svenja Bielefeld:</t>
        </r>
        <r>
          <rPr>
            <sz val="9"/>
            <color indexed="81"/>
            <rFont val="Tahoma"/>
            <family val="2"/>
          </rPr>
          <t xml:space="preserve">
assuming 8000h/y plant operation</t>
        </r>
      </text>
    </comment>
    <comment ref="O64" authorId="0" shapeId="0" xr:uid="{D80F39EB-1C83-4B64-89F4-40892785A101}">
      <text>
        <r>
          <rPr>
            <b/>
            <sz val="9"/>
            <color indexed="81"/>
            <rFont val="Tahoma"/>
            <family val="2"/>
          </rPr>
          <t>Svenja Bielefeld:</t>
        </r>
        <r>
          <rPr>
            <sz val="9"/>
            <color indexed="81"/>
            <rFont val="Tahoma"/>
            <family val="2"/>
          </rPr>
          <t xml:space="preserve">
Assuming 8000 operating hours per year</t>
        </r>
      </text>
    </comment>
    <comment ref="M77" authorId="0" shapeId="0" xr:uid="{C36BC14B-E922-4CBB-A40A-7C25795BAACB}">
      <text>
        <r>
          <rPr>
            <b/>
            <sz val="9"/>
            <color indexed="81"/>
            <rFont val="Tahoma"/>
            <family val="2"/>
          </rPr>
          <t>Svenja Bielefeld:</t>
        </r>
        <r>
          <rPr>
            <sz val="9"/>
            <color indexed="81"/>
            <rFont val="Tahoma"/>
            <family val="2"/>
          </rPr>
          <t xml:space="preserve">
assuming 8000h/y plant operation</t>
        </r>
      </text>
    </comment>
    <comment ref="O77" authorId="0" shapeId="0" xr:uid="{375C92E3-A305-4CCA-8F25-A836B415D292}">
      <text>
        <r>
          <rPr>
            <b/>
            <sz val="9"/>
            <color indexed="81"/>
            <rFont val="Tahoma"/>
            <family val="2"/>
          </rPr>
          <t>Svenja Bielefeld:</t>
        </r>
        <r>
          <rPr>
            <sz val="9"/>
            <color indexed="81"/>
            <rFont val="Tahoma"/>
            <family val="2"/>
          </rPr>
          <t xml:space="preserve">
Assuming 8000 operating hours per year</t>
        </r>
      </text>
    </comment>
  </commentList>
</comments>
</file>

<file path=xl/sharedStrings.xml><?xml version="1.0" encoding="utf-8"?>
<sst xmlns="http://schemas.openxmlformats.org/spreadsheetml/2006/main" count="227" uniqueCount="69">
  <si>
    <t>refrigerant</t>
  </si>
  <si>
    <t>methane (R50)</t>
  </si>
  <si>
    <t>ethylene (R1150)</t>
  </si>
  <si>
    <t>R134A</t>
  </si>
  <si>
    <t>T_c [K]</t>
  </si>
  <si>
    <t>T_h [K]</t>
  </si>
  <si>
    <t>Unit #</t>
  </si>
  <si>
    <t>Q_c [TJ/y]</t>
  </si>
  <si>
    <t>Required Work [TJ/y]</t>
  </si>
  <si>
    <t>Required Work [MW]</t>
  </si>
  <si>
    <t>Sum of required work [MW]</t>
  </si>
  <si>
    <t>Carnot efficiency HP</t>
  </si>
  <si>
    <t>COP HP (assuming 45% of Carnot)</t>
  </si>
  <si>
    <t>Carnot efficiency refrigeration</t>
  </si>
  <si>
    <t>Cooling water Duty [MW]</t>
  </si>
  <si>
    <t>Required cooling water mass flow [kg/h]</t>
  </si>
  <si>
    <t>Sum of required water [kg/h]</t>
  </si>
  <si>
    <t>Refrigeration Cycles</t>
  </si>
  <si>
    <t>Cooling water</t>
  </si>
  <si>
    <t>COP RC (assuming 45% of Carnot)</t>
  </si>
  <si>
    <t>div</t>
  </si>
  <si>
    <t>h/y</t>
  </si>
  <si>
    <t xml:space="preserve">then </t>
  </si>
  <si>
    <t>TJ/h</t>
  </si>
  <si>
    <t>times</t>
  </si>
  <si>
    <t>J/TJ</t>
  </si>
  <si>
    <t>J/h</t>
  </si>
  <si>
    <t>s/h</t>
  </si>
  <si>
    <t>J/s=W</t>
  </si>
  <si>
    <t>W/MW</t>
  </si>
  <si>
    <t>MW</t>
  </si>
  <si>
    <t>conversion TJ/y to MW</t>
  </si>
  <si>
    <t>factor</t>
  </si>
  <si>
    <t>without heat integration</t>
  </si>
  <si>
    <t>….[kt/y]</t>
  </si>
  <si>
    <t>with results from pinch analysis</t>
  </si>
  <si>
    <t>with pinch analysis results</t>
  </si>
  <si>
    <t>total demand</t>
  </si>
  <si>
    <t xml:space="preserve">Plant </t>
  </si>
  <si>
    <t>Olefins (O1),
878 kilotons/year</t>
  </si>
  <si>
    <t>Ethylene oxide (E1),
293 kilotons/year</t>
  </si>
  <si>
    <t>Ethylbenzene (E2),
758 kilotons/year</t>
  </si>
  <si>
    <t>none</t>
  </si>
  <si>
    <t>Ethylene glycol (E3),
113 kilotons/year</t>
  </si>
  <si>
    <t>PET (E6), 
231 kilotons/year</t>
  </si>
  <si>
    <t>na</t>
  </si>
  <si>
    <t xml:space="preserve">rule </t>
  </si>
  <si>
    <t>source</t>
  </si>
  <si>
    <t>result</t>
  </si>
  <si>
    <t>1) https://deltacooling.com/resources/faqs/how-do-you-calculate-water-loss-in-a-cooling-tower
2) https://www.chemengonline.com/cooling-towers-estimate-evaporation-loss-and-makeup-water-requirements/?printmode=1</t>
  </si>
  <si>
    <t>depending on L_in</t>
  </si>
  <si>
    <r>
      <t xml:space="preserve">Generally speaking, you can also estimate that for every 10°F (or 5.5°C) of water cooling in the tower, there will be 1 percent of water mass lost due to </t>
    </r>
    <r>
      <rPr>
        <u/>
        <sz val="11"/>
        <color theme="1"/>
        <rFont val="Calibri"/>
        <family val="2"/>
        <scheme val="minor"/>
      </rPr>
      <t>evaporation</t>
    </r>
    <r>
      <rPr>
        <sz val="11"/>
        <color theme="1"/>
        <rFont val="Calibri"/>
        <family val="2"/>
        <scheme val="minor"/>
      </rPr>
      <t>.</t>
    </r>
  </si>
  <si>
    <r>
      <rPr>
        <u/>
        <sz val="11"/>
        <color theme="1"/>
        <rFont val="Calibri"/>
        <family val="2"/>
        <scheme val="minor"/>
      </rPr>
      <t>Drift loss</t>
    </r>
    <r>
      <rPr>
        <sz val="11"/>
        <color theme="1"/>
        <rFont val="Calibri"/>
        <family val="2"/>
        <scheme val="minor"/>
      </rPr>
      <t xml:space="preserve"> is usually about 0.1–0.3% of the circulation water rate ( </t>
    </r>
    <r>
      <rPr>
        <i/>
        <sz val="11"/>
        <color theme="1"/>
        <rFont val="Calibri"/>
        <family val="2"/>
        <scheme val="minor"/>
      </rPr>
      <t>L</t>
    </r>
    <r>
      <rPr>
        <sz val="11"/>
        <color theme="1"/>
        <rFont val="Calibri"/>
        <family val="2"/>
        <scheme val="minor"/>
      </rPr>
      <t xml:space="preserve"> </t>
    </r>
    <r>
      <rPr>
        <vertAlign val="subscript"/>
        <sz val="11"/>
        <color theme="1"/>
        <rFont val="Calibri"/>
        <family val="2"/>
        <scheme val="minor"/>
      </rPr>
      <t>in</t>
    </r>
    <r>
      <rPr>
        <sz val="11"/>
        <color theme="1"/>
        <rFont val="Calibri"/>
        <family val="2"/>
        <scheme val="minor"/>
      </rPr>
      <t>).</t>
    </r>
  </si>
  <si>
    <t>https://www.chemengonline.com/cooling-towers-estimate-evaporation-loss-and-makeup-water-requirements/?printmode=1</t>
  </si>
  <si>
    <r>
      <rPr>
        <u/>
        <sz val="11"/>
        <color theme="1"/>
        <rFont val="Calibri"/>
        <family val="2"/>
        <scheme val="minor"/>
      </rPr>
      <t>Evaporation Loss</t>
    </r>
    <r>
      <rPr>
        <sz val="11"/>
        <color theme="1"/>
        <rFont val="Calibri"/>
        <family val="2"/>
        <scheme val="minor"/>
      </rPr>
      <t xml:space="preserve">  =  0.00085 * 1.8 * C * Δt
C = Circulating water in {{M}^{{3~}}}/Hr
Δt = Temperature  difference between inlet and outlet</t>
    </r>
  </si>
  <si>
    <t>https://chemicaltweak.com/cooling-tower-efficiency-calculation/</t>
  </si>
  <si>
    <t>flow in Olefins [kt/y]</t>
  </si>
  <si>
    <t>in [m^3/hr]</t>
  </si>
  <si>
    <t>m^3 = ton</t>
  </si>
  <si>
    <t>Required Work [MW] (Aspen)</t>
  </si>
  <si>
    <t>Cooling tower mfl [kt/y] (Aspen)</t>
  </si>
  <si>
    <t>Total required cooling water mass flow [kt/y] (inclu. Refrigeration cycles)</t>
  </si>
  <si>
    <t>Total Electricity demand for cooling tower and refrigeration cycles</t>
  </si>
  <si>
    <t>after pinch</t>
  </si>
  <si>
    <t>Cooling tower mfl [kt/y] (from Aspen datasheet)</t>
  </si>
  <si>
    <t>Cooling tower mfl [kt/y] (from Aspen datasheet))</t>
  </si>
  <si>
    <t>Required Work [MW] (from Aspen cooling tower model)</t>
  </si>
  <si>
    <t>Cooling water mfl [kt/y] (Aspen)</t>
  </si>
  <si>
    <t>There are two different types of cooling: 1) cooling towers, where mechanical work (electricity input) is required to pump the cooling water stream(s), and to run the fan(s) in the cooling tower; and 2) refrigeration cyclyes for cooling below 5 degrees Celcius. The electricity demand for the refrigeration has not been modelled, but the Carnot efficiency can be calculated assuming that the conderser operates with cooling water at 40 deg C, and with the Carnot efficiency one can estimate the COP (40-50% of the carnot efficiency) and calculate the work (eletricity input) required.
For the electricity required to run the cooling tower cycle, an Aspen model was built. Given the required cooling water mass flows, temperatures and pressures, Aspen calculates the electricity demand. To get the total cooling water mass flow, the cooling water required in the refrigeration cycles is added to the cooling water requirements from the respective plants determined by Aspen.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</si>
</sst>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rgb="FF9C5700"/>
      <name val="Calibri"/>
      <family val="2"/>
      <scheme val="minor"/>
    </font>
    <font>
      <b/>
      <sz val="11"/>
      <color theme="1"/>
      <name val="Calibri"/>
      <family val="2"/>
      <scheme val="minor"/>
    </font>
    <font>
      <i/>
      <sz val="11"/>
      <color theme="1"/>
      <name val="Calibri"/>
      <family val="2"/>
      <scheme val="minor"/>
    </font>
    <font>
      <sz val="9"/>
      <color indexed="81"/>
      <name val="Tahoma"/>
      <family val="2"/>
    </font>
    <font>
      <b/>
      <sz val="9"/>
      <color indexed="81"/>
      <name val="Tahoma"/>
      <family val="2"/>
    </font>
    <font>
      <b/>
      <sz val="11"/>
      <color theme="1" tint="0.34998626667073579"/>
      <name val="Calibri"/>
      <family val="2"/>
      <scheme val="minor"/>
    </font>
    <font>
      <sz val="11"/>
      <color theme="1" tint="0.34998626667073579"/>
      <name val="Calibri"/>
      <family val="2"/>
      <scheme val="minor"/>
    </font>
    <font>
      <sz val="11"/>
      <color rgb="FF9C0006"/>
      <name val="Calibri"/>
      <family val="2"/>
      <scheme val="minor"/>
    </font>
    <font>
      <b/>
      <sz val="11"/>
      <color rgb="FF9C0006"/>
      <name val="Calibri"/>
      <family val="2"/>
      <scheme val="minor"/>
    </font>
    <font>
      <u/>
      <sz val="11"/>
      <color theme="10"/>
      <name val="Calibri"/>
      <family val="2"/>
      <scheme val="minor"/>
    </font>
    <font>
      <vertAlign val="subscript"/>
      <sz val="11"/>
      <color theme="1"/>
      <name val="Calibri"/>
      <family val="2"/>
      <scheme val="minor"/>
    </font>
    <font>
      <u/>
      <sz val="11"/>
      <color theme="1"/>
      <name val="Calibri"/>
      <family val="2"/>
      <scheme val="minor"/>
    </font>
    <font>
      <b/>
      <sz val="11"/>
      <color rgb="FFFF0000"/>
      <name val="Calibri"/>
      <family val="2"/>
      <scheme val="minor"/>
    </font>
  </fonts>
  <fills count="13">
    <fill>
      <patternFill patternType="none"/>
    </fill>
    <fill>
      <patternFill patternType="gray125"/>
    </fill>
    <fill>
      <patternFill patternType="solid">
        <fgColor rgb="FFFFEB9C"/>
      </patternFill>
    </fill>
    <fill>
      <patternFill patternType="solid">
        <fgColor theme="8" tint="0.39997558519241921"/>
        <bgColor indexed="64"/>
      </patternFill>
    </fill>
    <fill>
      <patternFill patternType="solid">
        <fgColor theme="4" tint="-0.249977111117893"/>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rgb="FFFFC7CE"/>
      </patternFill>
    </fill>
    <fill>
      <patternFill patternType="solid">
        <fgColor rgb="FFFFCCFF"/>
        <bgColor indexed="64"/>
      </patternFill>
    </fill>
    <fill>
      <patternFill patternType="solid">
        <fgColor theme="0" tint="-0.14999847407452621"/>
        <bgColor indexed="64"/>
      </patternFill>
    </fill>
    <fill>
      <patternFill patternType="lightDown">
        <bgColor theme="6" tint="0.79995117038483843"/>
      </patternFill>
    </fill>
  </fills>
  <borders count="7">
    <border>
      <left/>
      <right/>
      <top/>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style="thin">
        <color indexed="64"/>
      </right>
      <top/>
      <bottom style="double">
        <color indexed="64"/>
      </bottom>
      <diagonal/>
    </border>
    <border>
      <left/>
      <right style="thin">
        <color indexed="64"/>
      </right>
      <top style="thin">
        <color indexed="64"/>
      </top>
      <bottom/>
      <diagonal/>
    </border>
    <border>
      <left/>
      <right style="thin">
        <color indexed="64"/>
      </right>
      <top style="double">
        <color indexed="64"/>
      </top>
      <bottom/>
      <diagonal/>
    </border>
    <border>
      <left style="thin">
        <color indexed="64"/>
      </left>
      <right/>
      <top/>
      <bottom/>
      <diagonal/>
    </border>
  </borders>
  <cellStyleXfs count="4">
    <xf numFmtId="0" fontId="0" fillId="0" borderId="0"/>
    <xf numFmtId="0" fontId="1" fillId="2" borderId="0" applyNumberFormat="0" applyBorder="0" applyAlignment="0" applyProtection="0"/>
    <xf numFmtId="0" fontId="8" fillId="9" borderId="0" applyNumberFormat="0" applyBorder="0" applyAlignment="0" applyProtection="0"/>
    <xf numFmtId="0" fontId="10" fillId="0" borderId="0" applyNumberFormat="0" applyFill="0" applyBorder="0" applyAlignment="0" applyProtection="0"/>
  </cellStyleXfs>
  <cellXfs count="44">
    <xf numFmtId="0" fontId="0" fillId="0" borderId="0" xfId="0"/>
    <xf numFmtId="0" fontId="2" fillId="0" borderId="0" xfId="0" applyFont="1"/>
    <xf numFmtId="0" fontId="3" fillId="0" borderId="0" xfId="0" applyFont="1"/>
    <xf numFmtId="0" fontId="2" fillId="3" borderId="0" xfId="0" applyFont="1" applyFill="1"/>
    <xf numFmtId="0" fontId="2" fillId="4" borderId="0" xfId="0" applyFont="1" applyFill="1"/>
    <xf numFmtId="0" fontId="2" fillId="5" borderId="0" xfId="0" applyFont="1" applyFill="1"/>
    <xf numFmtId="0" fontId="0" fillId="5" borderId="0" xfId="0" applyFill="1"/>
    <xf numFmtId="0" fontId="2" fillId="6" borderId="0" xfId="0" applyFont="1" applyFill="1"/>
    <xf numFmtId="0" fontId="2" fillId="7" borderId="0" xfId="0" applyFont="1" applyFill="1" applyAlignment="1">
      <alignment wrapText="1"/>
    </xf>
    <xf numFmtId="0" fontId="2" fillId="7" borderId="0" xfId="0" applyFont="1" applyFill="1"/>
    <xf numFmtId="11" fontId="0" fillId="0" borderId="0" xfId="0" applyNumberFormat="1"/>
    <xf numFmtId="11" fontId="0" fillId="3" borderId="0" xfId="0" applyNumberFormat="1" applyFill="1"/>
    <xf numFmtId="0" fontId="6" fillId="0" borderId="0" xfId="0" applyFont="1"/>
    <xf numFmtId="0" fontId="7" fillId="0" borderId="0" xfId="0" applyFont="1"/>
    <xf numFmtId="0" fontId="3" fillId="6" borderId="0" xfId="0" applyFont="1" applyFill="1"/>
    <xf numFmtId="0" fontId="0" fillId="8" borderId="0" xfId="0" applyFill="1"/>
    <xf numFmtId="11" fontId="0" fillId="4" borderId="0" xfId="0" applyNumberFormat="1" applyFill="1"/>
    <xf numFmtId="0" fontId="9" fillId="9" borderId="1" xfId="2" applyFont="1" applyBorder="1"/>
    <xf numFmtId="0" fontId="1" fillId="0" borderId="0" xfId="1" applyFill="1" applyAlignment="1">
      <alignment vertical="top" wrapText="1"/>
    </xf>
    <xf numFmtId="0" fontId="0" fillId="11" borderId="0" xfId="0" applyFill="1"/>
    <xf numFmtId="11" fontId="0" fillId="11" borderId="0" xfId="0" applyNumberFormat="1" applyFill="1"/>
    <xf numFmtId="0" fontId="0" fillId="8" borderId="0" xfId="0" applyFill="1" applyAlignment="1">
      <alignment vertical="center"/>
    </xf>
    <xf numFmtId="11" fontId="2" fillId="4" borderId="0" xfId="0" applyNumberFormat="1" applyFont="1" applyFill="1"/>
    <xf numFmtId="0" fontId="0" fillId="0" borderId="0" xfId="0" applyAlignment="1">
      <alignment wrapText="1"/>
    </xf>
    <xf numFmtId="0" fontId="10" fillId="0" borderId="0" xfId="3"/>
    <xf numFmtId="0" fontId="10" fillId="0" borderId="0" xfId="3" applyAlignment="1">
      <alignment wrapText="1"/>
    </xf>
    <xf numFmtId="0" fontId="0" fillId="12" borderId="0" xfId="0" applyFill="1"/>
    <xf numFmtId="0" fontId="0" fillId="7" borderId="0" xfId="0" applyFill="1"/>
    <xf numFmtId="0" fontId="13" fillId="7" borderId="0" xfId="0" applyFont="1" applyFill="1" applyAlignment="1">
      <alignment horizontal="right"/>
    </xf>
    <xf numFmtId="0" fontId="0" fillId="6" borderId="0" xfId="0" applyFill="1"/>
    <xf numFmtId="0" fontId="2" fillId="5" borderId="0" xfId="0" applyFont="1" applyFill="1" applyAlignment="1">
      <alignment wrapText="1"/>
    </xf>
    <xf numFmtId="0" fontId="2" fillId="3" borderId="0" xfId="0" applyFont="1" applyFill="1" applyAlignment="1">
      <alignment wrapText="1"/>
    </xf>
    <xf numFmtId="0" fontId="2" fillId="0" borderId="0" xfId="0" applyFont="1" applyAlignment="1">
      <alignment wrapText="1"/>
    </xf>
    <xf numFmtId="2" fontId="0" fillId="0" borderId="0" xfId="0" applyNumberFormat="1"/>
    <xf numFmtId="11" fontId="13" fillId="7" borderId="0" xfId="0" applyNumberFormat="1" applyFont="1" applyFill="1"/>
    <xf numFmtId="0" fontId="13" fillId="7" borderId="6" xfId="0" applyFont="1" applyFill="1" applyBorder="1" applyAlignment="1">
      <alignment horizontal="center" vertical="top"/>
    </xf>
    <xf numFmtId="0" fontId="13" fillId="7" borderId="0" xfId="0" applyFont="1" applyFill="1" applyAlignment="1">
      <alignment horizontal="center" vertical="top"/>
    </xf>
    <xf numFmtId="0" fontId="0" fillId="10" borderId="4" xfId="0" applyFill="1" applyBorder="1" applyAlignment="1">
      <alignment horizontal="center" vertical="center" textRotation="135" wrapText="1"/>
    </xf>
    <xf numFmtId="0" fontId="0" fillId="10" borderId="2" xfId="0" applyFill="1" applyBorder="1" applyAlignment="1">
      <alignment horizontal="center" vertical="center" textRotation="135" wrapText="1"/>
    </xf>
    <xf numFmtId="0" fontId="0" fillId="10" borderId="3" xfId="0" applyFill="1" applyBorder="1" applyAlignment="1">
      <alignment horizontal="center" vertical="center" textRotation="135" wrapText="1"/>
    </xf>
    <xf numFmtId="0" fontId="1" fillId="2" borderId="0" xfId="1" applyAlignment="1">
      <alignment horizontal="center" vertical="top" wrapText="1"/>
    </xf>
    <xf numFmtId="0" fontId="0" fillId="11" borderId="0" xfId="0" applyFill="1" applyAlignment="1">
      <alignment horizontal="center" vertical="top" wrapText="1"/>
    </xf>
    <xf numFmtId="0" fontId="0" fillId="8" borderId="0" xfId="0" applyFill="1" applyAlignment="1">
      <alignment horizontal="center" vertical="center" textRotation="135" wrapText="1"/>
    </xf>
    <xf numFmtId="0" fontId="0" fillId="10" borderId="5" xfId="0" applyFill="1" applyBorder="1" applyAlignment="1">
      <alignment horizontal="center" vertical="center" textRotation="135" wrapText="1"/>
    </xf>
  </cellXfs>
  <cellStyles count="4">
    <cellStyle name="Bad" xfId="2" builtinId="27"/>
    <cellStyle name="Hyperlink" xfId="3" builtinId="8"/>
    <cellStyle name="Neutral" xfId="1"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11906</xdr:colOff>
      <xdr:row>32</xdr:row>
      <xdr:rowOff>130969</xdr:rowOff>
    </xdr:from>
    <xdr:to>
      <xdr:col>36</xdr:col>
      <xdr:colOff>479262</xdr:colOff>
      <xdr:row>46</xdr:row>
      <xdr:rowOff>22092</xdr:rowOff>
    </xdr:to>
    <xdr:pic>
      <xdr:nvPicPr>
        <xdr:cNvPr id="3" name="Picture 2">
          <a:extLst>
            <a:ext uri="{FF2B5EF4-FFF2-40B4-BE49-F238E27FC236}">
              <a16:creationId xmlns:a16="http://schemas.microsoft.com/office/drawing/2014/main" id="{A850E18B-7251-48B8-8C99-DDBE94773598}"/>
            </a:ext>
          </a:extLst>
        </xdr:cNvPr>
        <xdr:cNvPicPr>
          <a:picLocks noChangeAspect="1"/>
        </xdr:cNvPicPr>
      </xdr:nvPicPr>
      <xdr:blipFill>
        <a:blip xmlns:r="http://schemas.openxmlformats.org/officeDocument/2006/relationships" r:embed="rId1"/>
        <a:stretch>
          <a:fillRect/>
        </a:stretch>
      </xdr:blipFill>
      <xdr:spPr>
        <a:xfrm>
          <a:off x="22169437" y="4310063"/>
          <a:ext cx="10180952" cy="3152381"/>
        </a:xfrm>
        <a:prstGeom prst="rect">
          <a:avLst/>
        </a:prstGeom>
      </xdr:spPr>
    </xdr:pic>
    <xdr:clientData/>
  </xdr:twoCellAnchor>
  <xdr:twoCellAnchor editAs="oneCell">
    <xdr:from>
      <xdr:col>21</xdr:col>
      <xdr:colOff>11906</xdr:colOff>
      <xdr:row>0</xdr:row>
      <xdr:rowOff>0</xdr:rowOff>
    </xdr:from>
    <xdr:to>
      <xdr:col>31</xdr:col>
      <xdr:colOff>168279</xdr:colOff>
      <xdr:row>21</xdr:row>
      <xdr:rowOff>35448</xdr:rowOff>
    </xdr:to>
    <xdr:pic>
      <xdr:nvPicPr>
        <xdr:cNvPr id="6" name="Picture 5">
          <a:extLst>
            <a:ext uri="{FF2B5EF4-FFF2-40B4-BE49-F238E27FC236}">
              <a16:creationId xmlns:a16="http://schemas.microsoft.com/office/drawing/2014/main" id="{E5C43DA9-E6B0-8E27-CD9A-88902B74CB26}"/>
            </a:ext>
          </a:extLst>
        </xdr:cNvPr>
        <xdr:cNvPicPr>
          <a:picLocks noChangeAspect="1"/>
        </xdr:cNvPicPr>
      </xdr:nvPicPr>
      <xdr:blipFill>
        <a:blip xmlns:r="http://schemas.openxmlformats.org/officeDocument/2006/relationships" r:embed="rId2"/>
        <a:stretch>
          <a:fillRect/>
        </a:stretch>
      </xdr:blipFill>
      <xdr:spPr>
        <a:xfrm>
          <a:off x="22169437" y="0"/>
          <a:ext cx="6219035" cy="4211684"/>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chemicaltweak.com/cooling-tower-efficiency-calculation/" TargetMode="External"/><Relationship Id="rId2" Type="http://schemas.openxmlformats.org/officeDocument/2006/relationships/hyperlink" Target="https://www.chemengonline.com/cooling-towers-estimate-evaporation-loss-and-makeup-water-requirements/?printmode=1" TargetMode="External"/><Relationship Id="rId1" Type="http://schemas.openxmlformats.org/officeDocument/2006/relationships/hyperlink" Target="https://deltacooling.com/resources/faqs/how-do-you-calculate-water-loss-in-a-cooling-tower"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87502-C5C9-4B36-9700-E996C90030DB}">
  <dimension ref="A1:U89"/>
  <sheetViews>
    <sheetView tabSelected="1" topLeftCell="L1" zoomScale="86" zoomScaleNormal="70" workbookViewId="0">
      <selection activeCell="B84" sqref="B84"/>
    </sheetView>
  </sheetViews>
  <sheetFormatPr defaultRowHeight="15" x14ac:dyDescent="0.25"/>
  <cols>
    <col min="1" max="1" width="19.28515625" customWidth="1"/>
    <col min="2" max="2" width="40.85546875" customWidth="1"/>
    <col min="3" max="3" width="16.140625" bestFit="1" customWidth="1"/>
    <col min="4" max="4" width="6.28515625" customWidth="1"/>
    <col min="5" max="5" width="8.140625" customWidth="1"/>
    <col min="6" max="6" width="9.28515625" customWidth="1"/>
    <col min="7" max="7" width="18.85546875" customWidth="1"/>
    <col min="8" max="8" width="28.5703125" customWidth="1"/>
    <col min="9" max="9" width="30.7109375" customWidth="1"/>
    <col min="10" max="10" width="27.85546875" customWidth="1"/>
    <col min="11" max="11" width="12.85546875" customWidth="1"/>
    <col min="12" max="12" width="38.7109375" customWidth="1"/>
    <col min="13" max="13" width="40" customWidth="1"/>
    <col min="14" max="14" width="35.28515625" customWidth="1"/>
    <col min="15" max="15" width="49.140625" customWidth="1"/>
    <col min="16" max="16" width="12" customWidth="1"/>
  </cols>
  <sheetData>
    <row r="1" spans="1:21" ht="14.45" customHeight="1" x14ac:dyDescent="0.25">
      <c r="B1" s="40" t="s">
        <v>68</v>
      </c>
      <c r="C1" s="40"/>
      <c r="D1" s="40"/>
      <c r="E1" s="40"/>
      <c r="F1" s="40"/>
      <c r="G1" s="40"/>
      <c r="H1" s="40"/>
      <c r="I1" s="40"/>
      <c r="J1" s="40"/>
      <c r="K1" s="40"/>
      <c r="L1" s="40"/>
      <c r="M1" s="40"/>
      <c r="N1" s="40"/>
      <c r="O1" s="40"/>
      <c r="P1" s="41" t="s">
        <v>31</v>
      </c>
      <c r="Q1" s="19" t="s">
        <v>20</v>
      </c>
      <c r="R1" s="19">
        <v>8000</v>
      </c>
      <c r="S1" s="19" t="s">
        <v>21</v>
      </c>
      <c r="T1" s="19" t="s">
        <v>22</v>
      </c>
      <c r="U1" s="19" t="s">
        <v>23</v>
      </c>
    </row>
    <row r="2" spans="1:21" x14ac:dyDescent="0.25">
      <c r="B2" s="40"/>
      <c r="C2" s="40"/>
      <c r="D2" s="40"/>
      <c r="E2" s="40"/>
      <c r="F2" s="40"/>
      <c r="G2" s="40"/>
      <c r="H2" s="40"/>
      <c r="I2" s="40"/>
      <c r="J2" s="40"/>
      <c r="K2" s="40"/>
      <c r="L2" s="40"/>
      <c r="M2" s="40"/>
      <c r="N2" s="40"/>
      <c r="O2" s="40"/>
      <c r="P2" s="41"/>
      <c r="Q2" s="19" t="s">
        <v>24</v>
      </c>
      <c r="R2" s="20">
        <v>1000000000000</v>
      </c>
      <c r="S2" s="19" t="s">
        <v>25</v>
      </c>
      <c r="T2" s="19" t="s">
        <v>22</v>
      </c>
      <c r="U2" s="19" t="s">
        <v>26</v>
      </c>
    </row>
    <row r="3" spans="1:21" x14ac:dyDescent="0.25">
      <c r="B3" s="40"/>
      <c r="C3" s="40"/>
      <c r="D3" s="40"/>
      <c r="E3" s="40"/>
      <c r="F3" s="40"/>
      <c r="G3" s="40"/>
      <c r="H3" s="40"/>
      <c r="I3" s="40"/>
      <c r="J3" s="40"/>
      <c r="K3" s="40"/>
      <c r="L3" s="40"/>
      <c r="M3" s="40"/>
      <c r="N3" s="40"/>
      <c r="O3" s="40"/>
      <c r="P3" s="41"/>
      <c r="Q3" s="19" t="s">
        <v>20</v>
      </c>
      <c r="R3" s="19">
        <v>3600</v>
      </c>
      <c r="S3" s="19" t="s">
        <v>27</v>
      </c>
      <c r="T3" s="19" t="s">
        <v>22</v>
      </c>
      <c r="U3" s="19" t="s">
        <v>28</v>
      </c>
    </row>
    <row r="4" spans="1:21" x14ac:dyDescent="0.25">
      <c r="B4" s="40"/>
      <c r="C4" s="40"/>
      <c r="D4" s="40"/>
      <c r="E4" s="40"/>
      <c r="F4" s="40"/>
      <c r="G4" s="40"/>
      <c r="H4" s="40"/>
      <c r="I4" s="40"/>
      <c r="J4" s="40"/>
      <c r="K4" s="40"/>
      <c r="L4" s="40"/>
      <c r="M4" s="40"/>
      <c r="N4" s="40"/>
      <c r="O4" s="40"/>
      <c r="P4" s="41"/>
      <c r="Q4" s="19" t="s">
        <v>20</v>
      </c>
      <c r="R4" s="20">
        <v>1000000</v>
      </c>
      <c r="S4" s="19" t="s">
        <v>29</v>
      </c>
      <c r="T4" s="19" t="s">
        <v>22</v>
      </c>
      <c r="U4" s="19" t="s">
        <v>30</v>
      </c>
    </row>
    <row r="5" spans="1:21" x14ac:dyDescent="0.25">
      <c r="B5" s="40"/>
      <c r="C5" s="40"/>
      <c r="D5" s="40"/>
      <c r="E5" s="40"/>
      <c r="F5" s="40"/>
      <c r="G5" s="40"/>
      <c r="H5" s="40"/>
      <c r="I5" s="40"/>
      <c r="J5" s="40"/>
      <c r="K5" s="40"/>
      <c r="L5" s="40"/>
      <c r="M5" s="40"/>
      <c r="N5" s="40"/>
      <c r="O5" s="40"/>
      <c r="P5" s="41"/>
      <c r="Q5" s="19"/>
      <c r="R5" s="19"/>
      <c r="S5" s="19"/>
      <c r="T5" s="19"/>
      <c r="U5" s="19"/>
    </row>
    <row r="6" spans="1:21" x14ac:dyDescent="0.25">
      <c r="B6" s="40"/>
      <c r="C6" s="40"/>
      <c r="D6" s="40"/>
      <c r="E6" s="40"/>
      <c r="F6" s="40"/>
      <c r="G6" s="40"/>
      <c r="H6" s="40"/>
      <c r="I6" s="40"/>
      <c r="J6" s="40"/>
      <c r="K6" s="40"/>
      <c r="L6" s="40"/>
      <c r="M6" s="40"/>
      <c r="N6" s="40"/>
      <c r="O6" s="40"/>
      <c r="P6" s="41"/>
      <c r="Q6" s="19" t="s">
        <v>32</v>
      </c>
      <c r="R6" s="20">
        <f>R2/R1/R3/R4</f>
        <v>3.4722222222222217E-2</v>
      </c>
      <c r="S6" s="19"/>
      <c r="T6" s="19"/>
      <c r="U6" s="19"/>
    </row>
    <row r="7" spans="1:21" x14ac:dyDescent="0.25">
      <c r="B7" s="18"/>
      <c r="C7" s="18"/>
      <c r="D7" s="18"/>
      <c r="E7" s="18"/>
      <c r="F7" s="18"/>
      <c r="G7" s="18"/>
      <c r="H7" s="18"/>
      <c r="I7" s="18"/>
      <c r="J7" s="18"/>
      <c r="K7" s="18"/>
      <c r="L7" s="18"/>
      <c r="M7" s="18"/>
      <c r="N7" s="18"/>
      <c r="O7" s="18"/>
    </row>
    <row r="8" spans="1:21" ht="15.75" thickBot="1" x14ac:dyDescent="0.3">
      <c r="A8" s="17" t="s">
        <v>38</v>
      </c>
      <c r="B8" s="18"/>
      <c r="C8" s="18"/>
      <c r="D8" s="18"/>
      <c r="E8" s="18"/>
      <c r="F8" s="18"/>
      <c r="G8" s="18"/>
      <c r="H8" s="18"/>
      <c r="I8" s="18"/>
      <c r="J8" s="18"/>
      <c r="K8" s="18"/>
      <c r="L8" s="18"/>
      <c r="M8" s="18"/>
      <c r="N8" s="18"/>
      <c r="O8" s="18"/>
    </row>
    <row r="9" spans="1:21" ht="15.75" customHeight="1" thickTop="1" x14ac:dyDescent="0.25">
      <c r="A9" s="43" t="s">
        <v>39</v>
      </c>
      <c r="B9" s="8" t="s">
        <v>17</v>
      </c>
      <c r="C9" s="1" t="s">
        <v>0</v>
      </c>
      <c r="D9" s="1" t="s">
        <v>6</v>
      </c>
      <c r="E9" s="1" t="s">
        <v>4</v>
      </c>
      <c r="F9" s="1" t="s">
        <v>5</v>
      </c>
      <c r="G9" s="12" t="s">
        <v>11</v>
      </c>
      <c r="H9" s="1" t="s">
        <v>13</v>
      </c>
      <c r="I9" s="12" t="s">
        <v>12</v>
      </c>
      <c r="J9" s="1" t="s">
        <v>19</v>
      </c>
      <c r="K9" s="1" t="s">
        <v>7</v>
      </c>
      <c r="L9" s="1" t="s">
        <v>8</v>
      </c>
      <c r="M9" s="3" t="s">
        <v>9</v>
      </c>
      <c r="N9" s="1" t="s">
        <v>14</v>
      </c>
      <c r="O9" s="5" t="s">
        <v>15</v>
      </c>
    </row>
    <row r="10" spans="1:21" x14ac:dyDescent="0.25">
      <c r="A10" s="38"/>
      <c r="B10" s="42" t="s">
        <v>33</v>
      </c>
      <c r="C10" s="2" t="s">
        <v>1</v>
      </c>
      <c r="D10">
        <v>1</v>
      </c>
      <c r="E10">
        <f xml:space="preserve"> -161+ 273.15</f>
        <v>112.14999999999998</v>
      </c>
      <c r="F10">
        <f xml:space="preserve"> 40 + 273.15</f>
        <v>313.14999999999998</v>
      </c>
      <c r="G10" s="13">
        <f t="shared" ref="G10:G18" si="0">F10/(F10-E10)</f>
        <v>1.557960199004975</v>
      </c>
      <c r="H10">
        <f t="shared" ref="H10:H18" si="1">E10/(F10-E10)</f>
        <v>0.55796019900497507</v>
      </c>
      <c r="I10" s="13">
        <f xml:space="preserve"> 0.5 *G10</f>
        <v>0.77898009950248748</v>
      </c>
      <c r="J10">
        <f>0.5*H10</f>
        <v>0.27898009950248753</v>
      </c>
      <c r="K10">
        <v>349</v>
      </c>
      <c r="L10">
        <f>K10/J10</f>
        <v>1250.9852875613019</v>
      </c>
      <c r="M10" s="11">
        <f t="shared" ref="M10:M18" si="2" xml:space="preserve"> L10*$R$6</f>
        <v>43.436989151434084</v>
      </c>
      <c r="N10" s="10">
        <f>M10*I10</f>
        <v>33.836550131272588</v>
      </c>
      <c r="O10" s="6">
        <f>L10*1000000000000/8000/4.18/1000/15</f>
        <v>2493989.8077378431</v>
      </c>
    </row>
    <row r="11" spans="1:21" x14ac:dyDescent="0.25">
      <c r="A11" s="38"/>
      <c r="B11" s="42"/>
      <c r="C11" s="2" t="s">
        <v>2</v>
      </c>
      <c r="D11">
        <v>1</v>
      </c>
      <c r="E11">
        <f xml:space="preserve"> -103 + 273.15</f>
        <v>170.14999999999998</v>
      </c>
      <c r="F11">
        <f t="shared" ref="F11:F18" si="3" xml:space="preserve"> 40 + 273.15</f>
        <v>313.14999999999998</v>
      </c>
      <c r="G11" s="13">
        <f t="shared" si="0"/>
        <v>2.1898601398601398</v>
      </c>
      <c r="H11">
        <f t="shared" si="1"/>
        <v>1.1898601398601396</v>
      </c>
      <c r="I11" s="13">
        <f xml:space="preserve"> 0.5 *G11</f>
        <v>1.0949300699300699</v>
      </c>
      <c r="J11">
        <f>0.5*H11</f>
        <v>0.5949300699300698</v>
      </c>
      <c r="K11">
        <v>942</v>
      </c>
      <c r="L11">
        <f t="shared" ref="L11:L18" si="4">K11/J11</f>
        <v>1583.3793711431094</v>
      </c>
      <c r="M11" s="11">
        <f t="shared" si="2"/>
        <v>54.978450386913515</v>
      </c>
      <c r="N11">
        <f t="shared" ref="N11:N18" si="5">M11*I11</f>
        <v>60.197558526790097</v>
      </c>
      <c r="O11" s="6">
        <f t="shared" ref="O11:O18" si="6">L11*1000000000000/8000/4.18/1000/15</f>
        <v>3156657.4384830734</v>
      </c>
    </row>
    <row r="12" spans="1:21" x14ac:dyDescent="0.25">
      <c r="A12" s="38"/>
      <c r="B12" s="42"/>
      <c r="D12">
        <v>2</v>
      </c>
      <c r="E12">
        <f t="shared" ref="E12:E13" si="7" xml:space="preserve"> -103 + 273.15</f>
        <v>170.14999999999998</v>
      </c>
      <c r="F12">
        <f t="shared" si="3"/>
        <v>313.14999999999998</v>
      </c>
      <c r="G12" s="13">
        <f t="shared" si="0"/>
        <v>2.1898601398601398</v>
      </c>
      <c r="H12">
        <f t="shared" si="1"/>
        <v>1.1898601398601396</v>
      </c>
      <c r="I12" s="13">
        <f xml:space="preserve"> 0.5 *G12</f>
        <v>1.0949300699300699</v>
      </c>
      <c r="J12">
        <f t="shared" ref="J12:J18" si="8">0.5*H12</f>
        <v>0.5949300699300698</v>
      </c>
      <c r="K12">
        <v>1424</v>
      </c>
      <c r="L12">
        <f t="shared" si="4"/>
        <v>2393.5586247428746</v>
      </c>
      <c r="M12" s="11">
        <f t="shared" si="2"/>
        <v>83.109674470238687</v>
      </c>
      <c r="N12">
        <f t="shared" si="5"/>
        <v>90.999281679563794</v>
      </c>
      <c r="O12" s="6">
        <f t="shared" si="6"/>
        <v>4771847.3380041365</v>
      </c>
    </row>
    <row r="13" spans="1:21" x14ac:dyDescent="0.25">
      <c r="A13" s="38"/>
      <c r="B13" s="42"/>
      <c r="D13">
        <v>3</v>
      </c>
      <c r="E13">
        <f t="shared" si="7"/>
        <v>170.14999999999998</v>
      </c>
      <c r="F13">
        <f t="shared" si="3"/>
        <v>313.14999999999998</v>
      </c>
      <c r="G13" s="13">
        <f t="shared" si="0"/>
        <v>2.1898601398601398</v>
      </c>
      <c r="H13">
        <f t="shared" si="1"/>
        <v>1.1898601398601396</v>
      </c>
      <c r="I13" s="13">
        <f xml:space="preserve"> 0.5 *G13</f>
        <v>1.0949300699300699</v>
      </c>
      <c r="J13">
        <f t="shared" si="8"/>
        <v>0.5949300699300698</v>
      </c>
      <c r="K13">
        <v>498</v>
      </c>
      <c r="L13">
        <f t="shared" si="4"/>
        <v>837.07317073170748</v>
      </c>
      <c r="M13" s="11">
        <f t="shared" si="2"/>
        <v>29.065040650406505</v>
      </c>
      <c r="N13">
        <f t="shared" si="5"/>
        <v>31.824186991869919</v>
      </c>
      <c r="O13" s="6">
        <f t="shared" si="6"/>
        <v>1668806.1617458283</v>
      </c>
    </row>
    <row r="14" spans="1:21" x14ac:dyDescent="0.25">
      <c r="A14" s="38"/>
      <c r="B14" s="42"/>
      <c r="C14" s="2" t="s">
        <v>3</v>
      </c>
      <c r="D14">
        <v>1</v>
      </c>
      <c r="E14">
        <f xml:space="preserve"> -25+ 273.15</f>
        <v>248.14999999999998</v>
      </c>
      <c r="F14">
        <f t="shared" si="3"/>
        <v>313.14999999999998</v>
      </c>
      <c r="G14" s="13">
        <f t="shared" si="0"/>
        <v>4.8176923076923073</v>
      </c>
      <c r="H14">
        <f t="shared" si="1"/>
        <v>3.8176923076923073</v>
      </c>
      <c r="I14" s="13">
        <f t="shared" ref="I14:I18" si="9" xml:space="preserve"> 0.5 *G14</f>
        <v>2.4088461538461536</v>
      </c>
      <c r="J14">
        <f t="shared" si="8"/>
        <v>1.9088461538461536</v>
      </c>
      <c r="K14">
        <v>317</v>
      </c>
      <c r="L14">
        <f t="shared" si="4"/>
        <v>166.06890993350797</v>
      </c>
      <c r="M14" s="11">
        <f t="shared" si="2"/>
        <v>5.7662815949134698</v>
      </c>
      <c r="N14">
        <f t="shared" si="5"/>
        <v>13.890085241901176</v>
      </c>
      <c r="O14" s="6">
        <f t="shared" si="6"/>
        <v>331078.36908594088</v>
      </c>
    </row>
    <row r="15" spans="1:21" x14ac:dyDescent="0.25">
      <c r="A15" s="38"/>
      <c r="B15" s="42"/>
      <c r="E15">
        <f t="shared" ref="E15:E18" si="10" xml:space="preserve"> -25+ 273.15</f>
        <v>248.14999999999998</v>
      </c>
      <c r="F15">
        <f t="shared" si="3"/>
        <v>313.14999999999998</v>
      </c>
      <c r="G15" s="13">
        <f t="shared" si="0"/>
        <v>4.8176923076923073</v>
      </c>
      <c r="H15">
        <f t="shared" si="1"/>
        <v>3.8176923076923073</v>
      </c>
      <c r="I15" s="13">
        <f t="shared" si="9"/>
        <v>2.4088461538461536</v>
      </c>
      <c r="J15">
        <f t="shared" si="8"/>
        <v>1.9088461538461536</v>
      </c>
      <c r="K15">
        <v>0</v>
      </c>
      <c r="L15">
        <f t="shared" si="4"/>
        <v>0</v>
      </c>
      <c r="M15" s="11">
        <f t="shared" si="2"/>
        <v>0</v>
      </c>
      <c r="N15">
        <f t="shared" si="5"/>
        <v>0</v>
      </c>
      <c r="O15" s="6">
        <f t="shared" si="6"/>
        <v>0</v>
      </c>
    </row>
    <row r="16" spans="1:21" x14ac:dyDescent="0.25">
      <c r="A16" s="38"/>
      <c r="B16" s="42"/>
      <c r="E16">
        <f t="shared" si="10"/>
        <v>248.14999999999998</v>
      </c>
      <c r="F16">
        <f t="shared" si="3"/>
        <v>313.14999999999998</v>
      </c>
      <c r="G16" s="13">
        <f t="shared" si="0"/>
        <v>4.8176923076923073</v>
      </c>
      <c r="H16">
        <f t="shared" si="1"/>
        <v>3.8176923076923073</v>
      </c>
      <c r="I16" s="13">
        <f t="shared" si="9"/>
        <v>2.4088461538461536</v>
      </c>
      <c r="J16">
        <f t="shared" si="8"/>
        <v>1.9088461538461536</v>
      </c>
      <c r="K16">
        <v>0</v>
      </c>
      <c r="L16">
        <f t="shared" si="4"/>
        <v>0</v>
      </c>
      <c r="M16" s="11">
        <f t="shared" si="2"/>
        <v>0</v>
      </c>
      <c r="N16">
        <f t="shared" si="5"/>
        <v>0</v>
      </c>
      <c r="O16" s="6">
        <f t="shared" si="6"/>
        <v>0</v>
      </c>
    </row>
    <row r="17" spans="1:18" x14ac:dyDescent="0.25">
      <c r="A17" s="38"/>
      <c r="B17" s="42"/>
      <c r="E17">
        <f t="shared" si="10"/>
        <v>248.14999999999998</v>
      </c>
      <c r="F17">
        <f t="shared" si="3"/>
        <v>313.14999999999998</v>
      </c>
      <c r="G17" s="13">
        <f t="shared" si="0"/>
        <v>4.8176923076923073</v>
      </c>
      <c r="H17">
        <f t="shared" si="1"/>
        <v>3.8176923076923073</v>
      </c>
      <c r="I17" s="13">
        <f t="shared" si="9"/>
        <v>2.4088461538461536</v>
      </c>
      <c r="J17">
        <f t="shared" si="8"/>
        <v>1.9088461538461536</v>
      </c>
      <c r="K17">
        <v>0</v>
      </c>
      <c r="L17">
        <f t="shared" si="4"/>
        <v>0</v>
      </c>
      <c r="M17" s="11">
        <f t="shared" si="2"/>
        <v>0</v>
      </c>
      <c r="N17">
        <f t="shared" si="5"/>
        <v>0</v>
      </c>
      <c r="O17" s="6">
        <f t="shared" si="6"/>
        <v>0</v>
      </c>
    </row>
    <row r="18" spans="1:18" x14ac:dyDescent="0.25">
      <c r="A18" s="38"/>
      <c r="B18" s="42"/>
      <c r="E18">
        <f t="shared" si="10"/>
        <v>248.14999999999998</v>
      </c>
      <c r="F18">
        <f t="shared" si="3"/>
        <v>313.14999999999998</v>
      </c>
      <c r="G18" s="13">
        <f t="shared" si="0"/>
        <v>4.8176923076923073</v>
      </c>
      <c r="H18">
        <f t="shared" si="1"/>
        <v>3.8176923076923073</v>
      </c>
      <c r="I18" s="13">
        <f t="shared" si="9"/>
        <v>2.4088461538461536</v>
      </c>
      <c r="J18">
        <f t="shared" si="8"/>
        <v>1.9088461538461536</v>
      </c>
      <c r="K18">
        <v>0</v>
      </c>
      <c r="L18">
        <f t="shared" si="4"/>
        <v>0</v>
      </c>
      <c r="M18" s="11">
        <f t="shared" si="2"/>
        <v>0</v>
      </c>
      <c r="N18">
        <f t="shared" si="5"/>
        <v>0</v>
      </c>
      <c r="O18" s="6">
        <f t="shared" si="6"/>
        <v>0</v>
      </c>
    </row>
    <row r="19" spans="1:18" ht="29.25" customHeight="1" x14ac:dyDescent="0.25">
      <c r="A19" s="38"/>
      <c r="B19" t="s">
        <v>37</v>
      </c>
      <c r="C19" s="1"/>
      <c r="L19" s="4" t="s">
        <v>10</v>
      </c>
      <c r="M19" s="4">
        <f>SUM(M10:M18)</f>
        <v>216.35643625390625</v>
      </c>
      <c r="N19" s="7" t="s">
        <v>16</v>
      </c>
      <c r="O19" s="7">
        <f>SUM(O10:O18)</f>
        <v>12422379.115056822</v>
      </c>
    </row>
    <row r="20" spans="1:18" x14ac:dyDescent="0.25">
      <c r="A20" s="38"/>
      <c r="K20" s="10"/>
      <c r="N20" s="7" t="s">
        <v>34</v>
      </c>
      <c r="O20" s="14">
        <f>O19/1000000*8000</f>
        <v>99379.032920454571</v>
      </c>
    </row>
    <row r="21" spans="1:18" x14ac:dyDescent="0.25">
      <c r="A21" s="38"/>
      <c r="B21" s="42" t="s">
        <v>35</v>
      </c>
      <c r="C21" s="2" t="s">
        <v>1</v>
      </c>
      <c r="D21">
        <v>1</v>
      </c>
      <c r="E21">
        <f xml:space="preserve"> -161+ 273.15</f>
        <v>112.14999999999998</v>
      </c>
      <c r="F21">
        <f xml:space="preserve"> 40 + 273.15</f>
        <v>313.14999999999998</v>
      </c>
      <c r="G21" s="13">
        <f t="shared" ref="G21:G29" si="11">F21/(F21-E21)</f>
        <v>1.557960199004975</v>
      </c>
      <c r="H21">
        <f t="shared" ref="H21:H29" si="12">E21/(F21-E21)</f>
        <v>0.55796019900497507</v>
      </c>
      <c r="I21" s="13">
        <f xml:space="preserve"> 0.5 *G21</f>
        <v>0.77898009950248748</v>
      </c>
      <c r="J21">
        <f>0.5*H21</f>
        <v>0.27898009950248753</v>
      </c>
      <c r="K21">
        <v>349</v>
      </c>
      <c r="L21">
        <f>K21/J21</f>
        <v>1250.9852875613019</v>
      </c>
      <c r="M21" s="11">
        <f t="shared" ref="M21:M29" si="13" xml:space="preserve"> L21*$R$6</f>
        <v>43.436989151434084</v>
      </c>
      <c r="N21" s="10">
        <f>M21*I21</f>
        <v>33.836550131272588</v>
      </c>
      <c r="O21" s="6">
        <f>L21*1000000000000/8000/4.18/1000/15</f>
        <v>2493989.8077378431</v>
      </c>
    </row>
    <row r="22" spans="1:18" x14ac:dyDescent="0.25">
      <c r="A22" s="38"/>
      <c r="B22" s="42"/>
      <c r="C22" s="2" t="s">
        <v>2</v>
      </c>
      <c r="D22" t="s">
        <v>45</v>
      </c>
      <c r="E22">
        <f xml:space="preserve"> -103 + 273.15</f>
        <v>170.14999999999998</v>
      </c>
      <c r="F22">
        <f t="shared" ref="F22:F29" si="14" xml:space="preserve"> 40 + 273.15</f>
        <v>313.14999999999998</v>
      </c>
      <c r="G22" s="13">
        <f t="shared" si="11"/>
        <v>2.1898601398601398</v>
      </c>
      <c r="H22">
        <f t="shared" si="12"/>
        <v>1.1898601398601396</v>
      </c>
      <c r="I22" s="13">
        <f t="shared" ref="I22:I29" si="15" xml:space="preserve"> 0.5 *G22</f>
        <v>1.0949300699300699</v>
      </c>
      <c r="J22">
        <f t="shared" ref="J22:J29" si="16">0.5*H22</f>
        <v>0.5949300699300698</v>
      </c>
      <c r="K22">
        <v>1384</v>
      </c>
      <c r="L22">
        <f t="shared" ref="L22:L29" si="17">K22/J22</f>
        <v>2326.3238319130182</v>
      </c>
      <c r="M22" s="11">
        <f t="shared" si="13"/>
        <v>80.775133052535338</v>
      </c>
      <c r="N22">
        <f t="shared" ref="N22:N29" si="18">M22*I22</f>
        <v>88.443122081823219</v>
      </c>
      <c r="O22" s="6">
        <f t="shared" ref="O22:O29" si="19">L22*1000000000000/8000/4.18/1000/15</f>
        <v>4637806.6824422209</v>
      </c>
      <c r="R22" s="10"/>
    </row>
    <row r="23" spans="1:18" x14ac:dyDescent="0.25">
      <c r="A23" s="38"/>
      <c r="B23" s="42"/>
      <c r="D23" t="s">
        <v>45</v>
      </c>
      <c r="E23">
        <f t="shared" ref="E23:E24" si="20" xml:space="preserve"> -103 + 273.15</f>
        <v>170.14999999999998</v>
      </c>
      <c r="F23">
        <f t="shared" si="14"/>
        <v>313.14999999999998</v>
      </c>
      <c r="G23" s="13">
        <f t="shared" si="11"/>
        <v>2.1898601398601398</v>
      </c>
      <c r="H23">
        <f t="shared" si="12"/>
        <v>1.1898601398601396</v>
      </c>
      <c r="I23" s="13">
        <f t="shared" si="15"/>
        <v>1.0949300699300699</v>
      </c>
      <c r="J23">
        <f t="shared" si="16"/>
        <v>0.5949300699300698</v>
      </c>
      <c r="K23">
        <v>0</v>
      </c>
      <c r="L23">
        <f t="shared" si="17"/>
        <v>0</v>
      </c>
      <c r="M23" s="11">
        <f t="shared" si="13"/>
        <v>0</v>
      </c>
      <c r="N23">
        <f t="shared" si="18"/>
        <v>0</v>
      </c>
      <c r="O23" s="6">
        <f t="shared" si="19"/>
        <v>0</v>
      </c>
    </row>
    <row r="24" spans="1:18" x14ac:dyDescent="0.25">
      <c r="A24" s="38"/>
      <c r="B24" s="42"/>
      <c r="D24" t="s">
        <v>45</v>
      </c>
      <c r="E24">
        <f t="shared" si="20"/>
        <v>170.14999999999998</v>
      </c>
      <c r="F24">
        <f t="shared" si="14"/>
        <v>313.14999999999998</v>
      </c>
      <c r="G24" s="13">
        <f t="shared" si="11"/>
        <v>2.1898601398601398</v>
      </c>
      <c r="H24">
        <f t="shared" si="12"/>
        <v>1.1898601398601396</v>
      </c>
      <c r="I24" s="13">
        <f t="shared" si="15"/>
        <v>1.0949300699300699</v>
      </c>
      <c r="J24">
        <f t="shared" si="16"/>
        <v>0.5949300699300698</v>
      </c>
      <c r="K24">
        <v>0</v>
      </c>
      <c r="L24">
        <f t="shared" si="17"/>
        <v>0</v>
      </c>
      <c r="M24" s="11">
        <f t="shared" si="13"/>
        <v>0</v>
      </c>
      <c r="N24">
        <f t="shared" si="18"/>
        <v>0</v>
      </c>
      <c r="O24" s="6">
        <f t="shared" si="19"/>
        <v>0</v>
      </c>
      <c r="R24" s="10"/>
    </row>
    <row r="25" spans="1:18" x14ac:dyDescent="0.25">
      <c r="A25" s="38"/>
      <c r="B25" s="42"/>
      <c r="C25" s="2" t="s">
        <v>3</v>
      </c>
      <c r="D25" t="s">
        <v>45</v>
      </c>
      <c r="E25">
        <f xml:space="preserve"> -25+ 273.15</f>
        <v>248.14999999999998</v>
      </c>
      <c r="F25">
        <f t="shared" si="14"/>
        <v>313.14999999999998</v>
      </c>
      <c r="G25" s="13">
        <f t="shared" si="11"/>
        <v>4.8176923076923073</v>
      </c>
      <c r="H25">
        <f t="shared" si="12"/>
        <v>3.8176923076923073</v>
      </c>
      <c r="I25" s="13">
        <f t="shared" si="15"/>
        <v>2.4088461538461536</v>
      </c>
      <c r="J25">
        <f t="shared" si="16"/>
        <v>1.9088461538461536</v>
      </c>
      <c r="K25">
        <v>332</v>
      </c>
      <c r="L25">
        <f t="shared" si="17"/>
        <v>173.92706024581909</v>
      </c>
      <c r="M25" s="11">
        <f t="shared" si="13"/>
        <v>6.039134036313162</v>
      </c>
      <c r="N25">
        <f t="shared" si="18"/>
        <v>14.547344795934357</v>
      </c>
      <c r="O25" s="6">
        <f t="shared" si="19"/>
        <v>346744.53797013382</v>
      </c>
    </row>
    <row r="26" spans="1:18" x14ac:dyDescent="0.25">
      <c r="A26" s="38"/>
      <c r="B26" s="42"/>
      <c r="D26" t="s">
        <v>45</v>
      </c>
      <c r="E26">
        <f t="shared" ref="E26:E29" si="21" xml:space="preserve"> -25+ 273.15</f>
        <v>248.14999999999998</v>
      </c>
      <c r="F26">
        <f t="shared" si="14"/>
        <v>313.14999999999998</v>
      </c>
      <c r="G26" s="13">
        <f t="shared" si="11"/>
        <v>4.8176923076923073</v>
      </c>
      <c r="H26">
        <f t="shared" si="12"/>
        <v>3.8176923076923073</v>
      </c>
      <c r="I26" s="13">
        <f t="shared" si="15"/>
        <v>2.4088461538461536</v>
      </c>
      <c r="J26">
        <f t="shared" si="16"/>
        <v>1.9088461538461536</v>
      </c>
      <c r="K26">
        <v>0</v>
      </c>
      <c r="L26">
        <f t="shared" si="17"/>
        <v>0</v>
      </c>
      <c r="M26" s="11">
        <f t="shared" si="13"/>
        <v>0</v>
      </c>
      <c r="N26">
        <f t="shared" si="18"/>
        <v>0</v>
      </c>
      <c r="O26" s="6">
        <f t="shared" si="19"/>
        <v>0</v>
      </c>
      <c r="R26" s="10"/>
    </row>
    <row r="27" spans="1:18" x14ac:dyDescent="0.25">
      <c r="A27" s="38"/>
      <c r="B27" s="42"/>
      <c r="D27" t="s">
        <v>45</v>
      </c>
      <c r="E27">
        <f t="shared" si="21"/>
        <v>248.14999999999998</v>
      </c>
      <c r="F27">
        <f t="shared" si="14"/>
        <v>313.14999999999998</v>
      </c>
      <c r="G27" s="13">
        <f t="shared" si="11"/>
        <v>4.8176923076923073</v>
      </c>
      <c r="H27">
        <f t="shared" si="12"/>
        <v>3.8176923076923073</v>
      </c>
      <c r="I27" s="13">
        <f t="shared" si="15"/>
        <v>2.4088461538461536</v>
      </c>
      <c r="J27">
        <f t="shared" si="16"/>
        <v>1.9088461538461536</v>
      </c>
      <c r="K27">
        <v>0</v>
      </c>
      <c r="L27">
        <f t="shared" si="17"/>
        <v>0</v>
      </c>
      <c r="M27" s="11">
        <f t="shared" si="13"/>
        <v>0</v>
      </c>
      <c r="N27">
        <f t="shared" si="18"/>
        <v>0</v>
      </c>
      <c r="O27" s="6">
        <f t="shared" si="19"/>
        <v>0</v>
      </c>
    </row>
    <row r="28" spans="1:18" x14ac:dyDescent="0.25">
      <c r="A28" s="38"/>
      <c r="B28" s="42"/>
      <c r="D28" t="s">
        <v>45</v>
      </c>
      <c r="E28">
        <f t="shared" si="21"/>
        <v>248.14999999999998</v>
      </c>
      <c r="F28">
        <f t="shared" si="14"/>
        <v>313.14999999999998</v>
      </c>
      <c r="G28" s="13">
        <f t="shared" si="11"/>
        <v>4.8176923076923073</v>
      </c>
      <c r="H28">
        <f t="shared" si="12"/>
        <v>3.8176923076923073</v>
      </c>
      <c r="I28" s="13">
        <f t="shared" si="15"/>
        <v>2.4088461538461536</v>
      </c>
      <c r="J28">
        <f t="shared" si="16"/>
        <v>1.9088461538461536</v>
      </c>
      <c r="K28">
        <v>0</v>
      </c>
      <c r="L28">
        <f t="shared" si="17"/>
        <v>0</v>
      </c>
      <c r="M28" s="11">
        <f t="shared" si="13"/>
        <v>0</v>
      </c>
      <c r="N28">
        <f t="shared" si="18"/>
        <v>0</v>
      </c>
      <c r="O28" s="6">
        <f t="shared" si="19"/>
        <v>0</v>
      </c>
    </row>
    <row r="29" spans="1:18" x14ac:dyDescent="0.25">
      <c r="A29" s="38"/>
      <c r="B29" s="42"/>
      <c r="D29" t="s">
        <v>45</v>
      </c>
      <c r="E29">
        <f t="shared" si="21"/>
        <v>248.14999999999998</v>
      </c>
      <c r="F29">
        <f t="shared" si="14"/>
        <v>313.14999999999998</v>
      </c>
      <c r="G29" s="13">
        <f t="shared" si="11"/>
        <v>4.8176923076923073</v>
      </c>
      <c r="H29">
        <f t="shared" si="12"/>
        <v>3.8176923076923073</v>
      </c>
      <c r="I29" s="13">
        <f t="shared" si="15"/>
        <v>2.4088461538461536</v>
      </c>
      <c r="J29">
        <f t="shared" si="16"/>
        <v>1.9088461538461536</v>
      </c>
      <c r="K29">
        <v>0</v>
      </c>
      <c r="L29">
        <f t="shared" si="17"/>
        <v>0</v>
      </c>
      <c r="M29" s="11">
        <f t="shared" si="13"/>
        <v>0</v>
      </c>
      <c r="N29">
        <f t="shared" si="18"/>
        <v>0</v>
      </c>
      <c r="O29" s="6">
        <f t="shared" si="19"/>
        <v>0</v>
      </c>
    </row>
    <row r="30" spans="1:18" ht="29.25" customHeight="1" x14ac:dyDescent="0.25">
      <c r="A30" s="38"/>
      <c r="B30" t="s">
        <v>37</v>
      </c>
      <c r="C30" s="1"/>
      <c r="L30" s="4" t="s">
        <v>10</v>
      </c>
      <c r="M30" s="4">
        <f>SUM(M21:M29)</f>
        <v>130.25125624028257</v>
      </c>
      <c r="N30" s="7" t="s">
        <v>16</v>
      </c>
      <c r="O30" s="7">
        <f>SUM(O21:O29)</f>
        <v>7478541.028150198</v>
      </c>
    </row>
    <row r="31" spans="1:18" x14ac:dyDescent="0.25">
      <c r="A31" s="38"/>
      <c r="K31" s="10"/>
      <c r="N31" s="7" t="s">
        <v>34</v>
      </c>
      <c r="O31" s="14">
        <f>O30/1000000*8000</f>
        <v>59828.328225201578</v>
      </c>
    </row>
    <row r="32" spans="1:18" ht="28.5" customHeight="1" x14ac:dyDescent="0.25">
      <c r="A32" s="38"/>
      <c r="B32" s="9" t="s">
        <v>18</v>
      </c>
      <c r="C32" s="2"/>
      <c r="E32" s="1" t="s">
        <v>4</v>
      </c>
      <c r="F32" s="1" t="s">
        <v>5</v>
      </c>
      <c r="G32" s="13"/>
      <c r="I32" s="13"/>
      <c r="K32" s="1" t="s">
        <v>7</v>
      </c>
      <c r="L32" s="32" t="s">
        <v>67</v>
      </c>
      <c r="M32" s="31" t="s">
        <v>66</v>
      </c>
      <c r="N32" s="10"/>
      <c r="O32" s="30" t="s">
        <v>61</v>
      </c>
    </row>
    <row r="33" spans="1:17" x14ac:dyDescent="0.25">
      <c r="A33" s="38"/>
      <c r="B33" s="15" t="s">
        <v>33</v>
      </c>
      <c r="K33">
        <v>16709</v>
      </c>
      <c r="L33">
        <v>266363</v>
      </c>
      <c r="M33" s="16">
        <f>(1780.47 + 5917.05 + 9417.24)/1000</f>
        <v>17.11476</v>
      </c>
      <c r="O33" s="29">
        <f>O20+L33</f>
        <v>365742.03292045457</v>
      </c>
    </row>
    <row r="34" spans="1:17" x14ac:dyDescent="0.25">
      <c r="A34" s="38"/>
      <c r="B34" s="15" t="s">
        <v>36</v>
      </c>
      <c r="K34">
        <v>7279</v>
      </c>
      <c r="L34">
        <f>K34*Q35</f>
        <v>116092.50398724084</v>
      </c>
      <c r="M34" s="16">
        <f xml:space="preserve"> (856.401+2846.08+4529.67)/1000</f>
        <v>8.232151</v>
      </c>
      <c r="O34" s="29">
        <f>L34+O31</f>
        <v>175920.83221244242</v>
      </c>
    </row>
    <row r="35" spans="1:17" x14ac:dyDescent="0.25">
      <c r="A35" s="38"/>
      <c r="B35" s="35" t="s">
        <v>62</v>
      </c>
      <c r="C35" s="36"/>
      <c r="D35" s="36"/>
      <c r="E35" s="36"/>
      <c r="F35" s="36"/>
      <c r="G35" s="36"/>
      <c r="H35" s="36"/>
      <c r="I35" s="36"/>
      <c r="J35" s="36"/>
      <c r="K35" s="36"/>
      <c r="L35" s="36"/>
      <c r="M35" s="36"/>
      <c r="N35" s="28" t="s">
        <v>33</v>
      </c>
      <c r="O35" s="34">
        <f>M33+M19</f>
        <v>233.47119625390624</v>
      </c>
      <c r="Q35">
        <f>1000000000000/4.18/1000/15/1000/1000</f>
        <v>15.94896331738437</v>
      </c>
    </row>
    <row r="36" spans="1:17" ht="15.75" thickBot="1" x14ac:dyDescent="0.3">
      <c r="A36" s="39"/>
      <c r="B36" s="35"/>
      <c r="C36" s="36"/>
      <c r="D36" s="36"/>
      <c r="E36" s="36"/>
      <c r="F36" s="36"/>
      <c r="G36" s="36"/>
      <c r="H36" s="36"/>
      <c r="I36" s="36"/>
      <c r="J36" s="36"/>
      <c r="K36" s="36"/>
      <c r="L36" s="36"/>
      <c r="M36" s="36"/>
      <c r="N36" s="28" t="s">
        <v>63</v>
      </c>
      <c r="O36" s="34">
        <f>M34+M30</f>
        <v>138.48340724028256</v>
      </c>
      <c r="Q36">
        <f>L33/K33</f>
        <v>15.941289125620923</v>
      </c>
    </row>
    <row r="37" spans="1:17" ht="15.75" thickTop="1" x14ac:dyDescent="0.25">
      <c r="A37" s="26"/>
      <c r="B37" s="26"/>
      <c r="C37" s="26"/>
      <c r="D37" s="26"/>
      <c r="E37" s="26"/>
      <c r="F37" s="26"/>
      <c r="G37" s="26"/>
      <c r="H37" s="26"/>
      <c r="I37" s="26"/>
      <c r="J37" s="26"/>
      <c r="K37" s="26"/>
      <c r="L37" s="26"/>
      <c r="M37" s="26"/>
      <c r="N37" s="26"/>
      <c r="O37" s="26"/>
    </row>
    <row r="38" spans="1:17" x14ac:dyDescent="0.25">
      <c r="A38" s="37" t="s">
        <v>40</v>
      </c>
      <c r="B38" s="8" t="s">
        <v>17</v>
      </c>
      <c r="C38" s="1" t="s">
        <v>0</v>
      </c>
      <c r="D38" s="1" t="s">
        <v>6</v>
      </c>
      <c r="E38" s="1" t="s">
        <v>4</v>
      </c>
      <c r="F38" s="1" t="s">
        <v>5</v>
      </c>
      <c r="G38" s="12" t="s">
        <v>11</v>
      </c>
      <c r="H38" s="1" t="s">
        <v>13</v>
      </c>
      <c r="I38" s="12" t="s">
        <v>12</v>
      </c>
      <c r="J38" s="1" t="s">
        <v>19</v>
      </c>
      <c r="K38" s="1" t="s">
        <v>7</v>
      </c>
      <c r="L38" s="1" t="s">
        <v>8</v>
      </c>
      <c r="M38" s="3" t="s">
        <v>9</v>
      </c>
      <c r="N38" s="1" t="s">
        <v>14</v>
      </c>
      <c r="O38" s="5" t="s">
        <v>15</v>
      </c>
    </row>
    <row r="39" spans="1:17" x14ac:dyDescent="0.25">
      <c r="A39" s="38"/>
      <c r="B39" s="21" t="s">
        <v>33</v>
      </c>
      <c r="C39" s="2" t="s">
        <v>3</v>
      </c>
      <c r="D39">
        <v>1</v>
      </c>
      <c r="E39">
        <f xml:space="preserve"> -25+ 273.15</f>
        <v>248.14999999999998</v>
      </c>
      <c r="F39">
        <f t="shared" ref="F39" si="22" xml:space="preserve"> 40 + 273.15</f>
        <v>313.14999999999998</v>
      </c>
      <c r="G39" s="13">
        <f t="shared" ref="G39" si="23">F39/(F39-E39)</f>
        <v>4.8176923076923073</v>
      </c>
      <c r="H39">
        <f t="shared" ref="H39" si="24">E39/(F39-E39)</f>
        <v>3.8176923076923073</v>
      </c>
      <c r="I39" s="13">
        <f xml:space="preserve"> 0.45 *G39</f>
        <v>2.1679615384615385</v>
      </c>
      <c r="J39">
        <f t="shared" ref="J39" si="25">0.5*H39</f>
        <v>1.9088461538461536</v>
      </c>
      <c r="K39">
        <v>708.78</v>
      </c>
      <c r="L39">
        <f>K39/J39</f>
        <v>371.31331855732424</v>
      </c>
      <c r="M39" s="11">
        <f xml:space="preserve"> L39*$R$6</f>
        <v>12.892823561018201</v>
      </c>
      <c r="N39" s="10">
        <f>M39*I39</f>
        <v>27.95114560245819</v>
      </c>
      <c r="O39" s="6">
        <f>L39*1000000000000/8000/4.18/1000/15</f>
        <v>740257.81211587775</v>
      </c>
    </row>
    <row r="40" spans="1:17" ht="26.45" customHeight="1" x14ac:dyDescent="0.25">
      <c r="A40" s="38"/>
      <c r="B40" t="s">
        <v>37</v>
      </c>
      <c r="L40" s="4" t="s">
        <v>10</v>
      </c>
      <c r="M40" s="22">
        <f>M39</f>
        <v>12.892823561018201</v>
      </c>
      <c r="N40" s="7" t="s">
        <v>16</v>
      </c>
      <c r="O40" s="29">
        <f>O39</f>
        <v>740257.81211587775</v>
      </c>
    </row>
    <row r="41" spans="1:17" x14ac:dyDescent="0.25">
      <c r="A41" s="38"/>
      <c r="N41" s="7" t="s">
        <v>34</v>
      </c>
      <c r="O41" s="14">
        <f>O40/1000000*8000</f>
        <v>5922.062496927022</v>
      </c>
    </row>
    <row r="42" spans="1:17" x14ac:dyDescent="0.25">
      <c r="A42" s="38"/>
      <c r="B42" s="21" t="s">
        <v>35</v>
      </c>
    </row>
    <row r="43" spans="1:17" ht="28.9" customHeight="1" x14ac:dyDescent="0.25">
      <c r="A43" s="38"/>
      <c r="B43" t="s">
        <v>37</v>
      </c>
      <c r="L43" s="4" t="s">
        <v>10</v>
      </c>
      <c r="M43" s="22"/>
      <c r="N43" s="7" t="s">
        <v>16</v>
      </c>
      <c r="O43" s="29"/>
    </row>
    <row r="44" spans="1:17" x14ac:dyDescent="0.25">
      <c r="A44" s="38"/>
      <c r="N44" s="7" t="s">
        <v>34</v>
      </c>
      <c r="O44" s="29"/>
    </row>
    <row r="45" spans="1:17" ht="30" x14ac:dyDescent="0.25">
      <c r="A45" s="38"/>
      <c r="B45" s="9" t="s">
        <v>18</v>
      </c>
      <c r="L45" s="32" t="s">
        <v>60</v>
      </c>
      <c r="M45" s="31" t="s">
        <v>59</v>
      </c>
      <c r="N45" s="10"/>
      <c r="O45" s="30" t="s">
        <v>61</v>
      </c>
    </row>
    <row r="46" spans="1:17" x14ac:dyDescent="0.25">
      <c r="A46" s="38"/>
      <c r="B46" s="15" t="s">
        <v>33</v>
      </c>
      <c r="L46">
        <v>39884</v>
      </c>
      <c r="M46" s="16">
        <f>(222.989+741.059+1179.43)/1000</f>
        <v>2.143478</v>
      </c>
      <c r="O46" s="29">
        <f>L46+O41</f>
        <v>45806.062496927021</v>
      </c>
    </row>
    <row r="47" spans="1:17" x14ac:dyDescent="0.25">
      <c r="A47" s="38"/>
      <c r="B47" s="15" t="s">
        <v>36</v>
      </c>
      <c r="M47" s="16"/>
      <c r="O47" s="29"/>
    </row>
    <row r="48" spans="1:17" x14ac:dyDescent="0.25">
      <c r="A48" s="38"/>
      <c r="B48" s="35" t="s">
        <v>62</v>
      </c>
      <c r="C48" s="36"/>
      <c r="D48" s="36"/>
      <c r="E48" s="36"/>
      <c r="F48" s="36"/>
      <c r="G48" s="36"/>
      <c r="H48" s="36"/>
      <c r="I48" s="36"/>
      <c r="J48" s="36"/>
      <c r="K48" s="36"/>
      <c r="L48" s="36"/>
      <c r="M48" s="36"/>
      <c r="N48" s="28" t="s">
        <v>33</v>
      </c>
      <c r="O48" s="34">
        <f>M46+M40</f>
        <v>15.036301561018201</v>
      </c>
    </row>
    <row r="49" spans="1:15" ht="15.75" thickBot="1" x14ac:dyDescent="0.3">
      <c r="A49" s="39"/>
      <c r="B49" s="35"/>
      <c r="C49" s="36"/>
      <c r="D49" s="36"/>
      <c r="E49" s="36"/>
      <c r="F49" s="36"/>
      <c r="G49" s="36"/>
      <c r="H49" s="36"/>
      <c r="I49" s="36"/>
      <c r="J49" s="36"/>
      <c r="K49" s="36"/>
      <c r="L49" s="36"/>
      <c r="M49" s="36"/>
      <c r="N49" s="28" t="s">
        <v>63</v>
      </c>
      <c r="O49" s="27"/>
    </row>
    <row r="50" spans="1:15" ht="15.75" thickTop="1" x14ac:dyDescent="0.25">
      <c r="A50" s="26"/>
      <c r="B50" s="26"/>
      <c r="C50" s="26"/>
      <c r="D50" s="26"/>
      <c r="E50" s="26"/>
      <c r="F50" s="26"/>
      <c r="G50" s="26"/>
      <c r="H50" s="26"/>
      <c r="I50" s="26"/>
      <c r="J50" s="26"/>
      <c r="K50" s="26"/>
      <c r="L50" s="26"/>
      <c r="M50" s="26"/>
      <c r="N50" s="26"/>
      <c r="O50" s="26"/>
    </row>
    <row r="51" spans="1:15" x14ac:dyDescent="0.25">
      <c r="A51" s="37" t="s">
        <v>41</v>
      </c>
      <c r="B51" s="8" t="s">
        <v>17</v>
      </c>
      <c r="C51" s="1" t="s">
        <v>0</v>
      </c>
      <c r="D51" s="1" t="s">
        <v>6</v>
      </c>
      <c r="E51" s="1" t="s">
        <v>4</v>
      </c>
      <c r="F51" s="1" t="s">
        <v>5</v>
      </c>
      <c r="G51" s="12" t="s">
        <v>11</v>
      </c>
      <c r="H51" s="1" t="s">
        <v>13</v>
      </c>
      <c r="I51" s="12" t="s">
        <v>12</v>
      </c>
      <c r="J51" s="1" t="s">
        <v>19</v>
      </c>
      <c r="K51" s="1" t="s">
        <v>7</v>
      </c>
      <c r="L51" s="1" t="s">
        <v>8</v>
      </c>
      <c r="M51" s="3" t="s">
        <v>9</v>
      </c>
      <c r="N51" s="1" t="s">
        <v>14</v>
      </c>
      <c r="O51" s="5" t="s">
        <v>15</v>
      </c>
    </row>
    <row r="52" spans="1:15" x14ac:dyDescent="0.25">
      <c r="A52" s="38"/>
      <c r="B52" s="21" t="s">
        <v>33</v>
      </c>
      <c r="C52" t="s">
        <v>42</v>
      </c>
      <c r="K52">
        <v>0</v>
      </c>
      <c r="L52">
        <v>0</v>
      </c>
      <c r="M52">
        <v>0</v>
      </c>
      <c r="N52">
        <v>0</v>
      </c>
      <c r="O52">
        <v>0</v>
      </c>
    </row>
    <row r="53" spans="1:15" ht="29.45" customHeight="1" x14ac:dyDescent="0.25">
      <c r="A53" s="38"/>
      <c r="B53" t="s">
        <v>37</v>
      </c>
      <c r="L53" s="4" t="s">
        <v>10</v>
      </c>
      <c r="M53" s="22">
        <f>M52</f>
        <v>0</v>
      </c>
      <c r="N53" s="7" t="s">
        <v>16</v>
      </c>
      <c r="O53" s="29">
        <v>0</v>
      </c>
    </row>
    <row r="54" spans="1:15" x14ac:dyDescent="0.25">
      <c r="A54" s="38"/>
      <c r="N54" s="7" t="s">
        <v>34</v>
      </c>
      <c r="O54" s="29">
        <v>0</v>
      </c>
    </row>
    <row r="55" spans="1:15" x14ac:dyDescent="0.25">
      <c r="A55" s="38"/>
      <c r="B55" s="21" t="s">
        <v>35</v>
      </c>
      <c r="C55" t="s">
        <v>42</v>
      </c>
    </row>
    <row r="56" spans="1:15" ht="28.9" customHeight="1" x14ac:dyDescent="0.25">
      <c r="A56" s="38"/>
      <c r="B56" t="s">
        <v>37</v>
      </c>
      <c r="L56" s="4" t="s">
        <v>10</v>
      </c>
      <c r="M56" s="22">
        <f>M55</f>
        <v>0</v>
      </c>
      <c r="N56" s="7" t="s">
        <v>16</v>
      </c>
      <c r="O56" s="29"/>
    </row>
    <row r="57" spans="1:15" x14ac:dyDescent="0.25">
      <c r="A57" s="38"/>
      <c r="N57" s="7" t="s">
        <v>34</v>
      </c>
      <c r="O57" s="29"/>
    </row>
    <row r="58" spans="1:15" ht="30" x14ac:dyDescent="0.25">
      <c r="A58" s="38"/>
      <c r="B58" s="9" t="s">
        <v>18</v>
      </c>
      <c r="L58" s="32" t="s">
        <v>60</v>
      </c>
      <c r="M58" s="31" t="s">
        <v>59</v>
      </c>
      <c r="N58" s="10"/>
      <c r="O58" s="30" t="s">
        <v>61</v>
      </c>
    </row>
    <row r="59" spans="1:15" x14ac:dyDescent="0.25">
      <c r="A59" s="38"/>
      <c r="B59" s="15" t="s">
        <v>33</v>
      </c>
      <c r="L59">
        <v>12748.05</v>
      </c>
      <c r="M59" s="16">
        <f>(62.0589+206.241+328.241)/1000</f>
        <v>0.59654089999999993</v>
      </c>
      <c r="O59" s="29">
        <f>L59+O54</f>
        <v>12748.05</v>
      </c>
    </row>
    <row r="60" spans="1:15" x14ac:dyDescent="0.25">
      <c r="A60" s="38"/>
      <c r="B60" s="15" t="s">
        <v>36</v>
      </c>
      <c r="M60" s="16"/>
      <c r="O60" s="29"/>
    </row>
    <row r="61" spans="1:15" x14ac:dyDescent="0.25">
      <c r="A61" s="38"/>
      <c r="B61" s="35" t="s">
        <v>62</v>
      </c>
      <c r="C61" s="36"/>
      <c r="D61" s="36"/>
      <c r="E61" s="36"/>
      <c r="F61" s="36"/>
      <c r="G61" s="36"/>
      <c r="H61" s="36"/>
      <c r="I61" s="36"/>
      <c r="J61" s="36"/>
      <c r="K61" s="36"/>
      <c r="L61" s="36"/>
      <c r="M61" s="36"/>
      <c r="N61" s="28" t="s">
        <v>33</v>
      </c>
      <c r="O61" s="34">
        <f>M59+M53</f>
        <v>0.59654089999999993</v>
      </c>
    </row>
    <row r="62" spans="1:15" ht="15.75" thickBot="1" x14ac:dyDescent="0.3">
      <c r="A62" s="39"/>
      <c r="B62" s="35"/>
      <c r="C62" s="36"/>
      <c r="D62" s="36"/>
      <c r="E62" s="36"/>
      <c r="F62" s="36"/>
      <c r="G62" s="36"/>
      <c r="H62" s="36"/>
      <c r="I62" s="36"/>
      <c r="J62" s="36"/>
      <c r="K62" s="36"/>
      <c r="L62" s="36"/>
      <c r="M62" s="36"/>
      <c r="N62" s="28" t="s">
        <v>63</v>
      </c>
      <c r="O62" s="27"/>
    </row>
    <row r="63" spans="1:15" ht="15.75" thickTop="1" x14ac:dyDescent="0.25">
      <c r="A63" s="26"/>
      <c r="B63" s="26"/>
      <c r="C63" s="26"/>
      <c r="D63" s="26"/>
      <c r="E63" s="26"/>
      <c r="F63" s="26"/>
      <c r="G63" s="26"/>
      <c r="H63" s="26"/>
      <c r="I63" s="26"/>
      <c r="J63" s="26"/>
      <c r="K63" s="26"/>
      <c r="L63" s="26"/>
      <c r="M63" s="26"/>
      <c r="N63" s="26"/>
      <c r="O63" s="26"/>
    </row>
    <row r="64" spans="1:15" x14ac:dyDescent="0.25">
      <c r="A64" s="37" t="s">
        <v>43</v>
      </c>
      <c r="B64" s="8" t="s">
        <v>17</v>
      </c>
      <c r="C64" s="1" t="s">
        <v>0</v>
      </c>
      <c r="D64" s="1" t="s">
        <v>6</v>
      </c>
      <c r="E64" s="1" t="s">
        <v>4</v>
      </c>
      <c r="F64" s="1" t="s">
        <v>5</v>
      </c>
      <c r="G64" s="12" t="s">
        <v>11</v>
      </c>
      <c r="H64" s="1" t="s">
        <v>13</v>
      </c>
      <c r="I64" s="12" t="s">
        <v>12</v>
      </c>
      <c r="J64" s="1" t="s">
        <v>19</v>
      </c>
      <c r="K64" s="1" t="s">
        <v>7</v>
      </c>
      <c r="L64" s="1" t="s">
        <v>8</v>
      </c>
      <c r="M64" s="3" t="s">
        <v>9</v>
      </c>
      <c r="N64" s="1" t="s">
        <v>14</v>
      </c>
      <c r="O64" s="5" t="s">
        <v>15</v>
      </c>
    </row>
    <row r="65" spans="1:15" x14ac:dyDescent="0.25">
      <c r="A65" s="38"/>
      <c r="B65" s="21" t="s">
        <v>33</v>
      </c>
      <c r="C65" t="s">
        <v>42</v>
      </c>
      <c r="L65">
        <v>0</v>
      </c>
      <c r="M65">
        <v>0</v>
      </c>
      <c r="N65">
        <v>0</v>
      </c>
      <c r="O65">
        <v>0</v>
      </c>
    </row>
    <row r="66" spans="1:15" x14ac:dyDescent="0.25">
      <c r="A66" s="38"/>
      <c r="B66" t="s">
        <v>37</v>
      </c>
      <c r="L66" s="4" t="s">
        <v>10</v>
      </c>
      <c r="M66" s="22">
        <f>M65</f>
        <v>0</v>
      </c>
      <c r="N66" s="7" t="s">
        <v>16</v>
      </c>
      <c r="O66" s="29">
        <v>0</v>
      </c>
    </row>
    <row r="67" spans="1:15" x14ac:dyDescent="0.25">
      <c r="A67" s="38"/>
      <c r="N67" s="7" t="s">
        <v>34</v>
      </c>
      <c r="O67" s="29">
        <v>0</v>
      </c>
    </row>
    <row r="68" spans="1:15" x14ac:dyDescent="0.25">
      <c r="A68" s="38"/>
      <c r="B68" s="21" t="s">
        <v>35</v>
      </c>
      <c r="C68" t="s">
        <v>42</v>
      </c>
    </row>
    <row r="69" spans="1:15" x14ac:dyDescent="0.25">
      <c r="A69" s="38"/>
      <c r="B69" t="s">
        <v>37</v>
      </c>
      <c r="L69" s="4" t="s">
        <v>10</v>
      </c>
      <c r="M69" s="22">
        <f>M68</f>
        <v>0</v>
      </c>
      <c r="N69" s="7" t="s">
        <v>16</v>
      </c>
      <c r="O69" s="29"/>
    </row>
    <row r="70" spans="1:15" x14ac:dyDescent="0.25">
      <c r="A70" s="38"/>
      <c r="N70" s="7" t="s">
        <v>34</v>
      </c>
      <c r="O70" s="29"/>
    </row>
    <row r="71" spans="1:15" ht="30" x14ac:dyDescent="0.25">
      <c r="A71" s="38"/>
      <c r="B71" s="9" t="s">
        <v>18</v>
      </c>
      <c r="L71" s="32" t="s">
        <v>64</v>
      </c>
      <c r="M71" s="31" t="s">
        <v>66</v>
      </c>
      <c r="N71" s="10"/>
      <c r="O71" s="30" t="s">
        <v>61</v>
      </c>
    </row>
    <row r="72" spans="1:15" x14ac:dyDescent="0.25">
      <c r="A72" s="38"/>
      <c r="B72" s="15" t="s">
        <v>33</v>
      </c>
      <c r="L72">
        <v>24326</v>
      </c>
      <c r="M72" s="16">
        <f xml:space="preserve"> (118.422 + 393.551 + 626.354)/1000</f>
        <v>1.1383270000000001</v>
      </c>
      <c r="O72" s="29">
        <f>O57+L72</f>
        <v>24326</v>
      </c>
    </row>
    <row r="73" spans="1:15" x14ac:dyDescent="0.25">
      <c r="A73" s="38"/>
      <c r="B73" s="15" t="s">
        <v>36</v>
      </c>
      <c r="M73" s="16"/>
      <c r="O73" s="29"/>
    </row>
    <row r="74" spans="1:15" x14ac:dyDescent="0.25">
      <c r="A74" s="38"/>
      <c r="B74" s="35" t="s">
        <v>62</v>
      </c>
      <c r="C74" s="36"/>
      <c r="D74" s="36"/>
      <c r="E74" s="36"/>
      <c r="F74" s="36"/>
      <c r="G74" s="36"/>
      <c r="H74" s="36"/>
      <c r="I74" s="36"/>
      <c r="J74" s="36"/>
      <c r="K74" s="36"/>
      <c r="L74" s="36"/>
      <c r="M74" s="36"/>
      <c r="N74" s="28" t="s">
        <v>33</v>
      </c>
      <c r="O74" s="34">
        <f>M72+M66</f>
        <v>1.1383270000000001</v>
      </c>
    </row>
    <row r="75" spans="1:15" ht="15.75" thickBot="1" x14ac:dyDescent="0.3">
      <c r="A75" s="39"/>
      <c r="B75" s="35"/>
      <c r="C75" s="36"/>
      <c r="D75" s="36"/>
      <c r="E75" s="36"/>
      <c r="F75" s="36"/>
      <c r="G75" s="36"/>
      <c r="H75" s="36"/>
      <c r="I75" s="36"/>
      <c r="J75" s="36"/>
      <c r="K75" s="36"/>
      <c r="L75" s="36"/>
      <c r="M75" s="36"/>
      <c r="N75" s="28" t="s">
        <v>63</v>
      </c>
      <c r="O75" s="27"/>
    </row>
    <row r="76" spans="1:15" ht="15.75" thickTop="1" x14ac:dyDescent="0.25">
      <c r="A76" s="26"/>
      <c r="B76" s="26"/>
      <c r="C76" s="26"/>
      <c r="D76" s="26"/>
      <c r="E76" s="26"/>
      <c r="F76" s="26"/>
      <c r="G76" s="26"/>
      <c r="H76" s="26"/>
      <c r="I76" s="26"/>
      <c r="J76" s="26"/>
      <c r="K76" s="26"/>
      <c r="L76" s="26"/>
      <c r="M76" s="26"/>
      <c r="N76" s="26"/>
      <c r="O76" s="26"/>
    </row>
    <row r="77" spans="1:15" x14ac:dyDescent="0.25">
      <c r="A77" s="37" t="s">
        <v>44</v>
      </c>
      <c r="B77" s="8" t="s">
        <v>17</v>
      </c>
      <c r="C77" s="1" t="s">
        <v>0</v>
      </c>
      <c r="D77" s="1" t="s">
        <v>6</v>
      </c>
      <c r="E77" s="1" t="s">
        <v>4</v>
      </c>
      <c r="F77" s="1" t="s">
        <v>5</v>
      </c>
      <c r="G77" s="12" t="s">
        <v>11</v>
      </c>
      <c r="H77" s="1" t="s">
        <v>13</v>
      </c>
      <c r="I77" s="12" t="s">
        <v>12</v>
      </c>
      <c r="J77" s="1" t="s">
        <v>19</v>
      </c>
      <c r="K77" s="1" t="s">
        <v>7</v>
      </c>
      <c r="L77" s="1" t="s">
        <v>8</v>
      </c>
      <c r="M77" s="3" t="s">
        <v>9</v>
      </c>
      <c r="N77" s="1" t="s">
        <v>14</v>
      </c>
      <c r="O77" s="5" t="s">
        <v>15</v>
      </c>
    </row>
    <row r="78" spans="1:15" x14ac:dyDescent="0.25">
      <c r="A78" s="38"/>
      <c r="B78" s="21" t="s">
        <v>33</v>
      </c>
      <c r="C78" t="s">
        <v>42</v>
      </c>
      <c r="L78">
        <v>0</v>
      </c>
      <c r="M78">
        <v>0</v>
      </c>
      <c r="O78">
        <v>0</v>
      </c>
    </row>
    <row r="79" spans="1:15" x14ac:dyDescent="0.25">
      <c r="A79" s="38"/>
      <c r="B79" t="s">
        <v>37</v>
      </c>
      <c r="L79" s="4" t="s">
        <v>10</v>
      </c>
      <c r="M79" s="22">
        <f>M78</f>
        <v>0</v>
      </c>
      <c r="N79" s="7" t="s">
        <v>16</v>
      </c>
      <c r="O79" s="29">
        <v>0</v>
      </c>
    </row>
    <row r="80" spans="1:15" x14ac:dyDescent="0.25">
      <c r="A80" s="38"/>
      <c r="N80" s="7" t="s">
        <v>34</v>
      </c>
      <c r="O80" s="29">
        <v>0</v>
      </c>
    </row>
    <row r="81" spans="1:15" x14ac:dyDescent="0.25">
      <c r="A81" s="38"/>
      <c r="B81" s="21" t="s">
        <v>35</v>
      </c>
      <c r="C81" t="s">
        <v>42</v>
      </c>
    </row>
    <row r="82" spans="1:15" x14ac:dyDescent="0.25">
      <c r="A82" s="38"/>
      <c r="B82" t="s">
        <v>37</v>
      </c>
      <c r="L82" s="4" t="s">
        <v>10</v>
      </c>
      <c r="M82" s="22">
        <f>M81</f>
        <v>0</v>
      </c>
      <c r="N82" s="7" t="s">
        <v>16</v>
      </c>
      <c r="O82" s="29"/>
    </row>
    <row r="83" spans="1:15" x14ac:dyDescent="0.25">
      <c r="A83" s="38"/>
      <c r="N83" s="7" t="s">
        <v>34</v>
      </c>
      <c r="O83" s="29"/>
    </row>
    <row r="84" spans="1:15" ht="30" x14ac:dyDescent="0.25">
      <c r="A84" s="38"/>
      <c r="B84" s="9" t="s">
        <v>18</v>
      </c>
      <c r="L84" s="32" t="s">
        <v>65</v>
      </c>
      <c r="M84" s="31" t="s">
        <v>66</v>
      </c>
      <c r="N84" s="10"/>
      <c r="O84" s="30" t="s">
        <v>61</v>
      </c>
    </row>
    <row r="85" spans="1:15" x14ac:dyDescent="0.25">
      <c r="A85" s="38"/>
      <c r="B85" s="15" t="s">
        <v>33</v>
      </c>
      <c r="L85">
        <v>10487</v>
      </c>
      <c r="M85" s="16">
        <f>(51.0518+169.661+270.023)/1000</f>
        <v>0.49073580000000006</v>
      </c>
      <c r="O85" s="29">
        <f>O70+L85</f>
        <v>10487</v>
      </c>
    </row>
    <row r="86" spans="1:15" x14ac:dyDescent="0.25">
      <c r="A86" s="38"/>
      <c r="B86" s="15" t="s">
        <v>36</v>
      </c>
      <c r="M86" s="16"/>
      <c r="O86" s="29"/>
    </row>
    <row r="87" spans="1:15" x14ac:dyDescent="0.25">
      <c r="A87" s="38"/>
      <c r="B87" s="35" t="s">
        <v>62</v>
      </c>
      <c r="C87" s="36"/>
      <c r="D87" s="36"/>
      <c r="E87" s="36"/>
      <c r="F87" s="36"/>
      <c r="G87" s="36"/>
      <c r="H87" s="36"/>
      <c r="I87" s="36"/>
      <c r="J87" s="36"/>
      <c r="K87" s="36"/>
      <c r="L87" s="36"/>
      <c r="M87" s="36"/>
      <c r="N87" s="28" t="s">
        <v>33</v>
      </c>
      <c r="O87" s="34">
        <f>M85+M79</f>
        <v>0.49073580000000006</v>
      </c>
    </row>
    <row r="88" spans="1:15" ht="15.75" thickBot="1" x14ac:dyDescent="0.3">
      <c r="A88" s="39"/>
      <c r="B88" s="35"/>
      <c r="C88" s="36"/>
      <c r="D88" s="36"/>
      <c r="E88" s="36"/>
      <c r="F88" s="36"/>
      <c r="G88" s="36"/>
      <c r="H88" s="36"/>
      <c r="I88" s="36"/>
      <c r="J88" s="36"/>
      <c r="K88" s="36"/>
      <c r="L88" s="36"/>
      <c r="M88" s="36"/>
      <c r="N88" s="28" t="s">
        <v>63</v>
      </c>
      <c r="O88" s="27"/>
    </row>
    <row r="89" spans="1:15" ht="15.75" thickTop="1" x14ac:dyDescent="0.25">
      <c r="A89" s="26"/>
      <c r="B89" s="26"/>
      <c r="C89" s="26"/>
      <c r="D89" s="26"/>
      <c r="E89" s="26"/>
      <c r="F89" s="26"/>
      <c r="G89" s="26"/>
      <c r="H89" s="26"/>
      <c r="I89" s="26"/>
      <c r="J89" s="26"/>
      <c r="K89" s="26"/>
      <c r="L89" s="26"/>
      <c r="M89" s="26"/>
      <c r="N89" s="26"/>
      <c r="O89" s="26"/>
    </row>
  </sheetData>
  <mergeCells count="14">
    <mergeCell ref="P1:P6"/>
    <mergeCell ref="B10:B18"/>
    <mergeCell ref="B21:B29"/>
    <mergeCell ref="A9:A36"/>
    <mergeCell ref="B35:M36"/>
    <mergeCell ref="B87:M88"/>
    <mergeCell ref="A77:A88"/>
    <mergeCell ref="B1:O6"/>
    <mergeCell ref="B61:M62"/>
    <mergeCell ref="A51:A62"/>
    <mergeCell ref="B74:M75"/>
    <mergeCell ref="A64:A75"/>
    <mergeCell ref="B48:M49"/>
    <mergeCell ref="A38:A49"/>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440C9-4551-494A-B879-3ACDEA23D618}">
  <dimension ref="A1:H7"/>
  <sheetViews>
    <sheetView workbookViewId="0">
      <selection activeCell="C9" sqref="C9"/>
    </sheetView>
  </sheetViews>
  <sheetFormatPr defaultRowHeight="15" x14ac:dyDescent="0.25"/>
  <cols>
    <col min="1" max="1" width="26.5703125" customWidth="1"/>
    <col min="2" max="2" width="10.140625" customWidth="1"/>
    <col min="3" max="3" width="60.42578125" customWidth="1"/>
  </cols>
  <sheetData>
    <row r="1" spans="1:8" x14ac:dyDescent="0.25">
      <c r="A1" s="1" t="s">
        <v>46</v>
      </c>
      <c r="B1" s="1" t="s">
        <v>48</v>
      </c>
      <c r="C1" s="1" t="s">
        <v>47</v>
      </c>
      <c r="F1" s="1" t="s">
        <v>56</v>
      </c>
      <c r="G1" s="1" t="s">
        <v>57</v>
      </c>
    </row>
    <row r="2" spans="1:8" ht="105" x14ac:dyDescent="0.25">
      <c r="A2" s="23" t="s">
        <v>51</v>
      </c>
      <c r="B2">
        <f>(40-25)/5.5</f>
        <v>2.7272727272727271</v>
      </c>
      <c r="C2" s="25" t="s">
        <v>49</v>
      </c>
      <c r="F2">
        <v>266363</v>
      </c>
      <c r="G2">
        <f>F2/8000*1000</f>
        <v>33295.375</v>
      </c>
      <c r="H2" t="s">
        <v>58</v>
      </c>
    </row>
    <row r="3" spans="1:8" ht="48" x14ac:dyDescent="0.35">
      <c r="A3" s="23" t="s">
        <v>52</v>
      </c>
      <c r="B3" t="s">
        <v>50</v>
      </c>
      <c r="C3" s="24" t="s">
        <v>53</v>
      </c>
    </row>
    <row r="4" spans="1:8" ht="135" x14ac:dyDescent="0.25">
      <c r="A4" s="23" t="s">
        <v>54</v>
      </c>
      <c r="B4">
        <f>0.00085*1.8*(40-25)*100</f>
        <v>2.2949999999999999</v>
      </c>
      <c r="C4" s="24" t="s">
        <v>55</v>
      </c>
    </row>
    <row r="6" spans="1:8" x14ac:dyDescent="0.25">
      <c r="A6" s="23"/>
      <c r="B6" s="33"/>
    </row>
    <row r="7" spans="1:8" x14ac:dyDescent="0.25">
      <c r="B7" s="33"/>
    </row>
  </sheetData>
  <hyperlinks>
    <hyperlink ref="C2" r:id="rId1" display="https://deltacooling.com/resources/faqs/how-do-you-calculate-water-loss-in-a-cooling-tower" xr:uid="{90EDA30D-6178-4736-AE4F-09C59989F50E}"/>
    <hyperlink ref="C3" r:id="rId2" xr:uid="{BC7E997B-624A-45B2-8201-7326054FFCBD}"/>
    <hyperlink ref="C4" r:id="rId3" xr:uid="{CF577BD3-0429-4D0F-B6F8-EADDEE8DFE79}"/>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evaporation losses assumptions</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Svenja Bielefeld</dc:creator>
  <cp:lastModifiedBy>Svenja Bielefeld</cp:lastModifiedBy>
  <dcterms:created xsi:type="dcterms:W3CDTF">2023-01-24T12:37:41Z</dcterms:created>
  <dcterms:modified xsi:type="dcterms:W3CDTF">2025-01-31T10:02:35Z</dcterms:modified>
</cp:coreProperties>
</file>