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WURNET.NL\Homes\linss012\My Documents\PhD\Geschreven dingen\1 - Uptake\Data\"/>
    </mc:Choice>
  </mc:AlternateContent>
  <xr:revisionPtr revIDLastSave="0" documentId="8_{6272E648-6706-4BC2-B375-198A39EE3D93}" xr6:coauthVersionLast="47" xr6:coauthVersionMax="47" xr10:uidLastSave="{00000000-0000-0000-0000-000000000000}"/>
  <bookViews>
    <workbookView xWindow="-108" yWindow="-108" windowWidth="23256" windowHeight="12576" xr2:uid="{00000000-000D-0000-FFFF-FFFF00000000}"/>
  </bookViews>
  <sheets>
    <sheet name="Figure 2,3,4 " sheetId="1" r:id="rId1"/>
    <sheet name="Appendix A" sheetId="2" r:id="rId2"/>
    <sheet name="Appendix C" sheetId="3" r:id="rId3"/>
    <sheet name="Appendix D"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4" i="1" l="1"/>
  <c r="U5" i="1"/>
  <c r="U6" i="1"/>
  <c r="U7" i="1"/>
  <c r="U8" i="1"/>
  <c r="U9" i="1"/>
  <c r="U10" i="1"/>
  <c r="U11" i="1"/>
  <c r="U12" i="1"/>
  <c r="U13" i="1"/>
  <c r="K22" i="1"/>
  <c r="K21" i="1"/>
  <c r="I21" i="1"/>
  <c r="K20" i="1"/>
  <c r="I20" i="1"/>
  <c r="K19" i="1"/>
  <c r="I19" i="1"/>
  <c r="K18" i="1"/>
  <c r="I18" i="1"/>
  <c r="G18" i="1"/>
  <c r="S17" i="1"/>
  <c r="K17" i="1"/>
  <c r="I17" i="1"/>
  <c r="G17" i="1"/>
  <c r="C17" i="1"/>
  <c r="S16" i="1"/>
  <c r="K16" i="1"/>
  <c r="I16" i="1"/>
  <c r="G16" i="1"/>
  <c r="E16" i="1"/>
  <c r="C16" i="1"/>
  <c r="S15" i="1"/>
  <c r="O15" i="1"/>
  <c r="M15" i="1"/>
  <c r="K15" i="1"/>
  <c r="I15" i="1"/>
  <c r="G15" i="1"/>
  <c r="E15" i="1"/>
  <c r="C15" i="1"/>
  <c r="S14" i="1"/>
  <c r="O14" i="1"/>
  <c r="K14" i="1"/>
  <c r="I14" i="1"/>
  <c r="G14" i="1"/>
  <c r="E14" i="1"/>
  <c r="C14" i="1"/>
  <c r="S13" i="1"/>
  <c r="Q13" i="1"/>
  <c r="O13" i="1"/>
  <c r="M13" i="1"/>
  <c r="K13" i="1"/>
  <c r="I13" i="1"/>
  <c r="G13" i="1"/>
  <c r="E13" i="1"/>
  <c r="C13" i="1"/>
  <c r="S12" i="1"/>
  <c r="Q12" i="1"/>
  <c r="O12" i="1"/>
  <c r="M12" i="1"/>
  <c r="K12" i="1"/>
  <c r="I12" i="1"/>
  <c r="G12" i="1"/>
  <c r="E12" i="1"/>
  <c r="C12" i="1"/>
  <c r="S11" i="1"/>
  <c r="Q11" i="1"/>
  <c r="O11" i="1"/>
  <c r="M11" i="1"/>
  <c r="K11" i="1"/>
  <c r="I11" i="1"/>
  <c r="G11" i="1"/>
  <c r="E11" i="1"/>
  <c r="C11" i="1"/>
  <c r="S10" i="1"/>
  <c r="Q10" i="1"/>
  <c r="O10" i="1"/>
  <c r="M10" i="1"/>
  <c r="K10" i="1"/>
  <c r="I10" i="1"/>
  <c r="G10" i="1"/>
  <c r="E10" i="1"/>
  <c r="C10" i="1"/>
  <c r="S9" i="1"/>
  <c r="O9" i="1"/>
  <c r="M9" i="1"/>
  <c r="K9" i="1"/>
  <c r="I9" i="1"/>
  <c r="G9" i="1"/>
  <c r="E9" i="1"/>
  <c r="C9" i="1"/>
  <c r="S8" i="1"/>
  <c r="O8" i="1"/>
  <c r="M8" i="1"/>
  <c r="K8" i="1"/>
  <c r="I8" i="1"/>
  <c r="G8" i="1"/>
  <c r="E8" i="1"/>
  <c r="C8" i="1"/>
  <c r="S7" i="1"/>
  <c r="Q7" i="1"/>
  <c r="O7" i="1"/>
  <c r="M7" i="1"/>
  <c r="K7" i="1"/>
  <c r="I7" i="1"/>
  <c r="G7" i="1"/>
  <c r="E7" i="1"/>
  <c r="C7" i="1"/>
  <c r="S6" i="1"/>
  <c r="Q6" i="1"/>
  <c r="O6" i="1"/>
  <c r="M6" i="1"/>
  <c r="K6" i="1"/>
  <c r="I6" i="1"/>
  <c r="G6" i="1"/>
  <c r="E6" i="1"/>
  <c r="C6" i="1"/>
  <c r="S5" i="1"/>
  <c r="Q5" i="1"/>
  <c r="O5" i="1"/>
  <c r="M5" i="1"/>
  <c r="K5" i="1"/>
  <c r="I5" i="1"/>
  <c r="G5" i="1"/>
  <c r="E5" i="1"/>
  <c r="C5" i="1"/>
  <c r="S4" i="1"/>
  <c r="Q4" i="1"/>
  <c r="O4" i="1"/>
  <c r="M4" i="1"/>
  <c r="K4" i="1"/>
  <c r="I4" i="1"/>
  <c r="G4" i="1"/>
  <c r="E4" i="1"/>
  <c r="C4" i="1"/>
</calcChain>
</file>

<file path=xl/sharedStrings.xml><?xml version="1.0" encoding="utf-8"?>
<sst xmlns="http://schemas.openxmlformats.org/spreadsheetml/2006/main" count="221" uniqueCount="172">
  <si>
    <t>mM</t>
  </si>
  <si>
    <t>Time (min)</t>
  </si>
  <si>
    <t>[SOB]</t>
  </si>
  <si>
    <t>mgN/L</t>
  </si>
  <si>
    <t>Treatment</t>
  </si>
  <si>
    <t>A</t>
  </si>
  <si>
    <t>A.ZnAc</t>
  </si>
  <si>
    <t>B</t>
  </si>
  <si>
    <t>C</t>
  </si>
  <si>
    <t>C.ZnAc</t>
  </si>
  <si>
    <t>autoclaved SOB</t>
  </si>
  <si>
    <t>live SOB</t>
  </si>
  <si>
    <t>k__Bacteria;p__Proteobacteria;c__Gammaproteobacteria;o__Chromatiales;f__Ectothiorhodospiraceae;g__Thioalkalivibrio;s__sulfidophilus</t>
  </si>
  <si>
    <t>k__Bacteria;p__Proteobacteria;c__Gammaproteobacteria;o__Chromatiales;f__Ectothiorhodospiraceae;g__Halorhodospira;s__</t>
  </si>
  <si>
    <t>k__Bacteria;p__Proteobacteria;c__Alphaproteobacteria;o__Rhodobacterales;f__Rhodobacteraceae;__;__</t>
  </si>
  <si>
    <t>k__Bacteria;p__Proteobacteria;c__Gammaproteobacteria;o__Chromatiales;f__Halothiobacillaceae;g__Halothiobacillus;s__</t>
  </si>
  <si>
    <t>k__Bacteria;p__Bacteroidetes;c__Bacteroidia;o__Bacteroidales;f__GZKB119;g__;s__</t>
  </si>
  <si>
    <t>k__Bacteria;p__Proteobacteria;c__Alphaproteobacteria;o__Rhodospirillales;f__Rhodospirillaceae;g__;s__</t>
  </si>
  <si>
    <t>k__Bacteria;p__Proteobacteria;c__Deltaproteobacteria;o__Desulfobacterales;f__Desulfobulbaceae;g__Desulfurivibrio;s__alkaliphilus</t>
  </si>
  <si>
    <t>k__Bacteria;p__Proteobacteria;c__Gammaproteobacteria;o__Thiotrichales;f__Piscirickettsiaceae;g__Thioalkalimicrobium;s__cyclicum</t>
  </si>
  <si>
    <t>k__Bacteria;p__Proteobacteria;c__Gammaproteobacteria;o__Legionellales;__;__;__</t>
  </si>
  <si>
    <t>k__Bacteria;p__Tenericutes;c__Mollicutes;o__Acholeplasmatales;f__Acholeplasmataceae;g__Acholeplasma;s__</t>
  </si>
  <si>
    <t>k__Bacteria;p__Tenericutes;c__Mollicutes;o__;f__;g__;s__</t>
  </si>
  <si>
    <t>k__Bacteria;p__Firmicutes;c__Clostridia;o__Clostridiales;f__[Tissierellaceae];g__Tissierella_Soehngenia;s__</t>
  </si>
  <si>
    <t>k__Bacteria;p__Proteobacteria;c__Gammaproteobacteria;o__Thiotrichales;f__Piscirickettsiaceae;g__Thiomicrospira;s__thyasirae</t>
  </si>
  <si>
    <t>k__Bacteria;p__Chrysiogenetes;c__Chrysiogenetes;o__Chrysiogenales;f__Chrysiogenaceae;g__Desulfurispirillum;s__alkaliphilum</t>
  </si>
  <si>
    <t>k__Bacteria;p__Firmicutes;c__Clostridia;o__Clostridiales;f__Clostridiaceae;g__Tindallia_Anoxynatronum;s__</t>
  </si>
  <si>
    <t>k__Bacteria;p__Proteobacteria;c__Gammaproteobacteria;o__Alteromonadales;f__Idiomarinaceae;g__;s__</t>
  </si>
  <si>
    <t>k__Bacteria;p__Firmicutes;c__Erysipelotrichi;o__Erysipelotrichales;f__Erysipelotrichaceae;g__PSB-M-3;s__</t>
  </si>
  <si>
    <t>k__Bacteria;p__Proteobacteria;c__Alphaproteobacteria;o__Rhizobiales;f__Brucellaceae;g__Ochrobactrum;__</t>
  </si>
  <si>
    <t>k__Bacteria;p__Proteobacteria;c__Gammaproteobacteria;o__Oceanospirillales;f__Halomonadaceae;g__Halomonas;s__campisalis</t>
  </si>
  <si>
    <t>k__Bacteria;p__Firmicutes;c__Clostridia;o__Clostridiales;f__Clostridiaceae;g__Clostridium;s__halophilum</t>
  </si>
  <si>
    <t>k__Bacteria;p__Bacteroidetes;c__Bacteroidia;o__Bacteroidales;f__;g__;s__</t>
  </si>
  <si>
    <t>k__Bacteria;p__Proteobacteria;c__Gammaproteobacteria;o__Thiotrichales;f__Piscirickettsiaceae;g__Thioalkalimicrobium;s__</t>
  </si>
  <si>
    <t>k__Bacteria;p__Firmicutes;c__Clostridia;o__MBA08;f__;g__;s__</t>
  </si>
  <si>
    <t>k__Bacteria;p__Proteobacteria;c__Gammaproteobacteria;o__Chromatiales;f__Ectothiorhodospiraceae;__;__</t>
  </si>
  <si>
    <t>k__Bacteria;p__Proteobacteria;c__Gammaproteobacteria;o__Xanthomonadales;f__Xanthomonadaceae;g__Stenotrophomonas;s__acidaminiphila</t>
  </si>
  <si>
    <t>k__Bacteria;p__Proteobacteria;c__Epsilonproteobacteria;o__Campylobacterales;f__Campylobacteraceae;g__Arcobacter;s__</t>
  </si>
  <si>
    <t>k__Bacteria;p__Proteobacteria;c__Alphaproteobacteria;o__Rhodobacterales;f__Rhodobacteraceae;g__Antarctobacter;s__</t>
  </si>
  <si>
    <t>k__Bacteria;p__Firmicutes;c__Clostridia;o__Clostridiales;f__Clostridiaceae;__;__</t>
  </si>
  <si>
    <t>k__Bacteria;p__Bacteroidetes;c__Bacteroidia;o__Bacteroidales;f__SB-1;g__;s__</t>
  </si>
  <si>
    <t>k__Bacteria;p__Proteobacteria;c__Alphaproteobacteria;o__Rhizobiales;f__Beijerinckiaceae;__;__</t>
  </si>
  <si>
    <t>k__Bacteria;p__Proteobacteria;c__Alphaproteobacteria;o__Rhodospirillales;f__Rhodospirillaceae;g__Novispirillum;s__</t>
  </si>
  <si>
    <t>k__Bacteria;__;__;__;__;__;__</t>
  </si>
  <si>
    <t>k__Bacteria;p__Proteobacteria;c__Gammaproteobacteria;o__Thiotrichales;f__Piscirickettsiaceae;g__Methylophaga;s__</t>
  </si>
  <si>
    <t>k__Bacteria;p__Firmicutes;c__Bacilli;o__Bacillales;f__Bacillaceae;g__Bacillus;s__selenitireducens</t>
  </si>
  <si>
    <t>k__Bacteria;p__[Thermi];c__Deinococci;o__Deinococcales;f__Trueperaceae;g__B-42;s__</t>
  </si>
  <si>
    <t>k__Bacteria;p__Bacteroidetes;c__Bacteroidia;o__Bacteroidales;f__Marinilabiaceae;g__;s__</t>
  </si>
  <si>
    <t>k__Bacteria;p__Actinobacteria;c__Nitriliruptoria;o__Nitriliruptorales;f__Nitriliruptoraceae;g__;s__</t>
  </si>
  <si>
    <t>k__Bacteria;p__Bacteroidetes;c__[Rhodothermi];o__[Rhodothermales];f__[Balneolaceae];g__KSA1;s__</t>
  </si>
  <si>
    <t>k__Bacteria;p__Proteobacteria;c__Alphaproteobacteria;o__Rhodobacterales;f__Rhodobacteraceae;g__Paracoccus;__</t>
  </si>
  <si>
    <t>k__Bacteria;p__Proteobacteria;c__Gammaproteobacteria;o__Oceanospirillales;f__Halomonadaceae;g__Halomonas;__</t>
  </si>
  <si>
    <t>k__Bacteria;p__;c__;o__;f__;g__;s__</t>
  </si>
  <si>
    <t>k__Bacteria;p__Proteobacteria;c__Gammaproteobacteria;o__[Marinicellales];f__[Marinicellaceae];g__;s__</t>
  </si>
  <si>
    <t>k__Bacteria;p__Firmicutes;c__Clostridia;o__Clostridiales;f__[Acidaminobacteraceae];g__Fusibacter;s__</t>
  </si>
  <si>
    <t>k__Bacteria;p__Firmicutes;c__Clostridia;o__Clostridiales;f__Clostridiaceae;g__Proteiniclasticum;s__</t>
  </si>
  <si>
    <t>k__Bacteria;p__Proteobacteria;c__Alphaproteobacteria;o__Rhodospirillales;f__Rhodospirillaceae;g__Inquilinus;s__</t>
  </si>
  <si>
    <t>k__Bacteria;p__Bacteroidetes;c__Bacteroidia;o__Bacteroidales;f__Porphyromonadaceae;g__;s__</t>
  </si>
  <si>
    <t>k__Bacteria;p__Firmicutes;c__Clostridia;o__Clostridiales;f__Peptococcaceae;g__;s__</t>
  </si>
  <si>
    <t>k__Bacteria;p__Proteobacteria;c__Gammaproteobacteria;o__Chromatiales;f__Ectothiorhodospiraceae;g__Thioalkalivibrio;s__</t>
  </si>
  <si>
    <t>k__Bacteria;p__Actinobacteria;c__Actinobacteria;o__Actinomycetales;f__Actinomycetaceae;g__N09;s__</t>
  </si>
  <si>
    <t>k__Bacteria;p__BRC1;c__PRR-11;o__;f__;g__;s__</t>
  </si>
  <si>
    <t>k__Bacteria;p__Bacteroidetes;c__Bacteroidia;o__Bacteroidales;f__Rikenellaceae;g__Blvii28;s__</t>
  </si>
  <si>
    <t>k__Bacteria;p__Spirochaetes;c__Spirochaetes;o__Spirochaetales;f__Spirochaetaceae;g__;s__</t>
  </si>
  <si>
    <t>k__Bacteria;p__Firmicutes;c__Clostridia;o__Halanaerobiales;f__;g__;s__</t>
  </si>
  <si>
    <t>k__Bacteria;p__Synergistetes;c__Synergistia;o__Synergistales;f__Thermovirgaceae;g__;s__</t>
  </si>
  <si>
    <t>k__Bacteria;p__Proteobacteria;c__Gammaproteobacteria;o__Alteromonadales;f__Alteromonadaceae;g__;s__</t>
  </si>
  <si>
    <t>k__Bacteria;p__Firmicutes;c__Clostridia;o__Clostridiales;f__Peptococcaceae;g__Desulfitobacter;s__</t>
  </si>
  <si>
    <t>k__Bacteria;p__Proteobacteria;c__Alphaproteobacteria;o__Rhodospirillales;f__;g__;s__</t>
  </si>
  <si>
    <t>k__Bacteria;p__Proteobacteria;c__Gammaproteobacteria;o__Alteromonadales;__;__;__</t>
  </si>
  <si>
    <t>k__Bacteria;p__Proteobacteria;c__Epsilonproteobacteria;o__Campylobacterales;f__Campylobacteraceae;g__;s__</t>
  </si>
  <si>
    <t>k__Bacteria;p__Actinobacteria;c__Actinobacteria;o__Actinomycetales;f__Cellulomonadaceae;g__Actinotalea;s__</t>
  </si>
  <si>
    <t>k__Bacteria;p__Firmicutes;c__Clostridia;o__Clostridiales;f__Eubacteriaceae;g__Alkalibacter;s__</t>
  </si>
  <si>
    <t>k__Bacteria;p__Bacteroidetes;c__[Rhodothermi];o__[Rhodothermales];f__[Balneolaceae];g__;s__</t>
  </si>
  <si>
    <t>k__Bacteria;p__Firmicutes;c__Bacilli;o__Bacillales;f__Bacillaceae;g__Bacillus;s__agaradhaerens</t>
  </si>
  <si>
    <t>k__Bacteria;p__Proteobacteria;c__Deltaproteobacteria;o__Desulfovibrionales;f__Desulfonatronumaceae;g__Desulfonatronum;s__</t>
  </si>
  <si>
    <t>k__Bacteria;p__Firmicutes;c__Bacilli;o__Bacillales;f__[Exiguobacteraceae];g__Exiguobacterium;s__</t>
  </si>
  <si>
    <t>k__Bacteria;p__Proteobacteria;c__Gammaproteobacteria;o__Oceanospirillales;f__Oceanospirillaceae;g__Nitrincola;s__</t>
  </si>
  <si>
    <t>k__Bacteria;p__Proteobacteria;c__Gammaproteobacteria;o__Alteromonadales;f__Alteromonadaceae;g__Marinobacter;s__</t>
  </si>
  <si>
    <t>k__Bacteria;p__Proteobacteria;c__Gammaproteobacteria;o__Oceanospirillales;f__Halomonadaceae;g__Halomonas;s__</t>
  </si>
  <si>
    <t>k__Bacteria;p__Proteobacteria;c__Alphaproteobacteria;o__Rhodobacterales;f__Rhodobacteraceae;g__Paracoccus;s__</t>
  </si>
  <si>
    <t>k__Bacteria;p__Spirochaetes;c__Spirochaetes;o__Sphaerochaetales;f__Sphaerochaetaceae;g__;s__</t>
  </si>
  <si>
    <t>k__Bacteria;p__Bacteroidetes;c__Flavobacteriia;o__Flavobacteriales;f__Flavobacteriaceae;__;__</t>
  </si>
  <si>
    <t>k__Bacteria;p__Firmicutes;c__Clostridia;o__Clostridiales;f__[Tissierellaceae];g__Dethiosulfatibacter;s__</t>
  </si>
  <si>
    <t>k__Bacteria;p__Proteobacteria;c__Deltaproteobacteria;o__GMD14H09;f__;g__;s__</t>
  </si>
  <si>
    <t>k__Bacteria;p__Firmicutes;c__Bacilli;o__Lactobacillales;f__Aerococcaceae;g__Alkalibacterium;s__</t>
  </si>
  <si>
    <t>k__Bacteria;p__Firmicutes;c__Clostridia;o__Clostridiales;__;__;__</t>
  </si>
  <si>
    <t>k__Bacteria;p__Proteobacteria;c__Alphaproteobacteria;o__;f__;g__;s__</t>
  </si>
  <si>
    <t>k__Bacteria;p__Proteobacteria;c__Gammaproteobacteria;o__Chromatiales;f__Halothiobacillaceae;g__Halothiobacillus;s__hydrothermalis</t>
  </si>
  <si>
    <t>k__Bacteria;p__Firmicutes;c__Bacilli;o__Bacillales;f__Bacillaceae;g__Bacillus;__</t>
  </si>
  <si>
    <t>k__Bacteria;p__Proteobacteria;c__Alphaproteobacteria;__;__;__;__</t>
  </si>
  <si>
    <t>k__Bacteria;p__Firmicutes;c__Bacilli;o__Bacillales;f__Bacillaceae;g__Bacillus;s__selenatarsenatis</t>
  </si>
  <si>
    <t>k__Bacteria;p__Proteobacteria;c__Gammaproteobacteria;o__Oceanospirillales;f__Halomonadaceae;g__Halomonas;s__nitritophilus</t>
  </si>
  <si>
    <t>k__Bacteria;p__Firmicutes;c__Clostridia;o__Clostridiales;f__Clostridiaceae;g__Clostridium;__</t>
  </si>
  <si>
    <t>k__Bacteria;p__Proteobacteria;c__Gammaproteobacteria;__;__;__;__</t>
  </si>
  <si>
    <t>k__Bacteria;p__Proteobacteria;c__Alphaproteobacteria;o__Rhodobacterales;f__Hyphomonadaceae;g__Oceanicaulis;s__</t>
  </si>
  <si>
    <t>k__Bacteria;p__Bacteroidetes;c__Cytophagia;o__Cytophagales;f__Cyclobacteriaceae;g__Fontibacter;s__flavus</t>
  </si>
  <si>
    <t>k__Bacteria;p__Thermotogae;c__Thermotogae;o__Thermotogales;f__Thermotogaceae;g__Kosmotoga;s__mrcj</t>
  </si>
  <si>
    <t>k__Bacteria;p__Proteobacteria;c__Alphaproteobacteria;o__Rhizobiales;f__Beijerinckiaceae;g__Chelatococcus;s__asaccharovorans</t>
  </si>
  <si>
    <t>k__Bacteria;p__Bacteroidetes;c__Bacteroidia;o__Bacteroidales;f__ML635J-40;g__;s__</t>
  </si>
  <si>
    <t>k__Bacteria;p__Proteobacteria;c__Gammaproteobacteria;o__Chromatiales;__;__;__</t>
  </si>
  <si>
    <t>k__Bacteria;p__Proteobacteria;c__Gammaproteobacteria;o__Chromatiales;f__Ectothiorhodospiraceae;g__;s__</t>
  </si>
  <si>
    <t>k__Bacteria;p__Firmicutes;c__Bacilli;o__Bacillales;f__Bacillaceae;g__Anaerobacillus;s__</t>
  </si>
  <si>
    <t>k__Bacteria;p__Firmicutes;c__Clostridia;o__Clostridiales;f__Clostridiaceae;g__Clostridium;s__</t>
  </si>
  <si>
    <t>k__Bacteria;p__Proteobacteria;c__Betaproteobacteria;o__Burkholderiales;f__Comamonadaceae;g__Thiomonas;s__</t>
  </si>
  <si>
    <t>k__Bacteria;p__Proteobacteria;c__Betaproteobacteria;o__Rhodocyclales;f__Rhodocyclaceae;__;__</t>
  </si>
  <si>
    <t>k__Bacteria;p__Proteobacteria;c__Gammaproteobacteria;o__Chromatiales;f__Ectothiorhodospiraceae;g__Natronocella;s__acetinitrilica</t>
  </si>
  <si>
    <t>k__Bacteria;p__Proteobacteria;c__Betaproteobacteria;o__Burkholderiales;f__Alcaligenaceae;g__Achromobacter;s__</t>
  </si>
  <si>
    <t>k__Bacteria;p__NKB19;c__TSBW08;o__;f__;g__;s__</t>
  </si>
  <si>
    <t>k__Bacteria;p__Firmicutes;c__Clostridia;o__Natranaerobiales;f__ML1228J-1;g__;s__</t>
  </si>
  <si>
    <t>k__Bacteria;p__Proteobacteria;c__Deltaproteobacteria;o__Desulfuromonadales;f__Desulfuromonadaceae;__;__</t>
  </si>
  <si>
    <t>k__Bacteria;p__Firmicutes;c__Clostridia;o__Clostridiales;f__;g__;s__</t>
  </si>
  <si>
    <t>k__Bacteria;p__Synergistetes;c__Synergistia;o__Synergistales;f__Aminiphilaceae;g__;s__</t>
  </si>
  <si>
    <t>k__Bacteria;p__Firmicutes;c__Clostridia;o__Clostridiales;f__[Tissierellaceae];g__ecb11;s__</t>
  </si>
  <si>
    <t>k__Bacteria;p__Proteobacteria;c__Alphaproteobacteria;o__Rhodobacterales;f__Rhodobacteraceae;g__;s__</t>
  </si>
  <si>
    <t>k__Bacteria;p__Chloroflexi;c__Anaerolineae;o__SBR1031;f__A4b;g__;s__</t>
  </si>
  <si>
    <t>k__Bacteria;p__Proteobacteria;c__Betaproteobacteria;o__Burkholderiales;f__Alcaligenaceae;__;__</t>
  </si>
  <si>
    <t>k__Archaea;p__Euryarchaeota;c__Methanomicrobia;o__Methanosarcinales;f__Methanosarcinaceae;g__Methanolobus;s__</t>
  </si>
  <si>
    <t>k__Bacteria;p__Proteobacteria;c__Alphaproteobacteria;o__Rhodobacterales;f__Rhodobacteraceae;g__Paracoccus;s__marcusii</t>
  </si>
  <si>
    <t>k__Bacteria;p__Firmicutes;c__Clostridia;o__Clostridiales;f__[Tissierellaceae];g__;s__</t>
  </si>
  <si>
    <t>k__Bacteria;p__Firmicutes;c__Clostridia;o__Natranaerobiales;f__;g__;s__</t>
  </si>
  <si>
    <t>k__Bacteria;p__Firmicutes;c__Bacilli;o__Bacillales;f__Alicyclobacillaceae;g__Alicyclobacillus;s__ferrooxydans</t>
  </si>
  <si>
    <t>k__Bacteria;p__Firmicutes;c__Bacilli;o__Bacillales;f__Bacillaceae;__;__</t>
  </si>
  <si>
    <t>k__Bacteria;p__Proteobacteria;c__Gammaproteobacteria;o__Chromatiales;f__Ectothiorhodospiraceae;g__Thioalkalivibrio;__</t>
  </si>
  <si>
    <t>k__Bacteria;p__Proteobacteria;__;__;__;__;__</t>
  </si>
  <si>
    <t>k__Bacteria;p__Actinobacteria;c__Actinobacteria;o__Actinomycetales;f__Mycobacteriaceae;g__Mycobacterium;s__gordonae</t>
  </si>
  <si>
    <t>k__Bacteria;p__Proteobacteria;c__Deltaproteobacteria;__;__;__;__</t>
  </si>
  <si>
    <t>k__Bacteria;p__Proteobacteria;c__Gammaproteobacteria;o__;f__;g__;s__</t>
  </si>
  <si>
    <t>k__Bacteria;p__Tenericutes;c__Mollicutes;o__Acholeplasmatales;f__Acholeplasmataceae;g__Acholeplasma;s__brassicae</t>
  </si>
  <si>
    <t>k__Bacteria;p__Firmicutes;c__Bacilli;o__Bacillales;f__;g__;s__</t>
  </si>
  <si>
    <t>k__Bacteria;p__Firmicutes;c__Erysipelotrichi;o__Erysipelotrichales;f__Erysipelotrichaceae;__;__</t>
  </si>
  <si>
    <t>k__Bacteria;p__Proteobacteria;c__Alphaproteobacteria;o__Rhodobacterales;f__Rhodobacteraceae;g__Rhodobaca;s__</t>
  </si>
  <si>
    <t>k__Bacteria;p__Proteobacteria;c__Gammaproteobacteria;o__Chromatiales;f__Halothiobacillaceae;g__Halothiobacillus;__</t>
  </si>
  <si>
    <t>k__Bacteria;p__Actinobacteria;c__Nitriliruptoria;o__Nitriliruptorales;f__Nitriliruptoraceae;g__Nitriliruptor;s__alkaliphilus</t>
  </si>
  <si>
    <t>k__Bacteria;p__Firmicutes;c__Clostridia;o__Natranaerobiales;f__Anaerobrancaceae;g__KF-Gitt2-16;s__</t>
  </si>
  <si>
    <t>Unassigned;__;__;__;__;__;__</t>
  </si>
  <si>
    <t>k__Bacteria;p__Proteobacteria;c__Epsilonproteobacteria;o__Campylobacterales;f__Campylobacteraceae;g__Campylobacter;s__subantarcticus</t>
  </si>
  <si>
    <t>k__Bacteria;p__Proteobacteria;c__Deltaproteobacteria;o__Desulfuromonadales;f__Desulfuromonadaceae;g__Pelobacter;__</t>
  </si>
  <si>
    <t>k__Bacteria;p__Firmicutes;c__Bacilli;o__Bacillales;f__Bacillaceae;g__Natronobacillus;s__</t>
  </si>
  <si>
    <t>k__Bacteria;p__Proteobacteria;c__Alphaproteobacteria;o__Rhodobacterales;f__Rhodobacteraceae;g__Ruegeria;s__pomeroyi</t>
  </si>
  <si>
    <t>k__Bacteria;p__Proteobacteria;c__Gammaproteobacteria;o__Thiotrichales;f__Piscirickettsiaceae;g__;s__</t>
  </si>
  <si>
    <t>k__Bacteria;p__Proteobacteria;c__Deltaproteobacteria;o__Desulfobacterales;f__Desulfobulbaceae;__;__</t>
  </si>
  <si>
    <t>k__Bacteria;p__Firmicutes;c__Clostridia;o__Thermoanaerobacterales;f__Thermoanaerobacteraceae;g__;s__</t>
  </si>
  <si>
    <t>k__Bacteria;p__Spirochaetes;c__Spirochaetes;o__Sphaerochaetales;f__Sphaerochaetaceae;g__Sphaerochaeta;s__</t>
  </si>
  <si>
    <t>k__Bacteria;p__Proteobacteria;c__Gammaproteobacteria;o__Thiotrichales;f__Piscirickettsiaceae;g__Thioalkalimicrobium;__</t>
  </si>
  <si>
    <t>k__Bacteria;p__Firmicutes;c__Clostridia;o__Clostridiales;f__Ruminococcaceae;__;__</t>
  </si>
  <si>
    <t>k__Bacteria;p__NKB19;c__;o__;f__;g__;s__</t>
  </si>
  <si>
    <t>k__Bacteria;p__Proteobacteria;c__Gammaproteobacteria;o__Thiotrichales;f__Piscirickettsiaceae;g__Thioalkalimicrobium;s__microaerophilum</t>
  </si>
  <si>
    <t>k__Bacteria;p__Firmicutes;c__Bacilli;__;__;__;__</t>
  </si>
  <si>
    <t>k__Bacteria;p__TM6;c__SJA-4;o__;f__;g__;s__</t>
  </si>
  <si>
    <t>Barcode-sequence</t>
  </si>
  <si>
    <t>Plate-position</t>
  </si>
  <si>
    <t>Name</t>
  </si>
  <si>
    <t>Grouping-1</t>
  </si>
  <si>
    <t>Grouping-2</t>
  </si>
  <si>
    <t>Grouping-3</t>
  </si>
  <si>
    <t>Grouping-4</t>
  </si>
  <si>
    <t>Grouping-5</t>
  </si>
  <si>
    <t>Grouping-6</t>
  </si>
  <si>
    <t>Grouping-by-researcher</t>
  </si>
  <si>
    <t>AGCTGACTAGTC</t>
  </si>
  <si>
    <t>B3</t>
  </si>
  <si>
    <t>Rikke Linssen</t>
  </si>
  <si>
    <t>20210316_Chong Old</t>
  </si>
  <si>
    <t>biomass pellet</t>
  </si>
  <si>
    <t/>
  </si>
  <si>
    <t>16-3-2021 Chong</t>
  </si>
  <si>
    <t>Species</t>
  </si>
  <si>
    <t>Relative abundance</t>
  </si>
  <si>
    <t>[S2-] (mg/L)</t>
  </si>
  <si>
    <t>[HS-]0</t>
  </si>
  <si>
    <t>Sulphide (mg/L) at 16x dilution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</si>
</sst>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1" fillId="0" borderId="0" xfId="0" applyFont="1"/>
    <xf numFmtId="0" fontId="0" fillId="0" borderId="0" xfId="0" quotePrefix="1"/>
    <xf numFmtId="0" fontId="0" fillId="0" borderId="0" xfId="0" applyBorder="1"/>
    <xf numFmtId="0" fontId="0" fillId="0" borderId="7" xfId="0"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7</xdr:row>
      <xdr:rowOff>7620</xdr:rowOff>
    </xdr:from>
    <xdr:to>
      <xdr:col>7</xdr:col>
      <xdr:colOff>1356360</xdr:colOff>
      <xdr:row>19</xdr:row>
      <xdr:rowOff>0</xdr:rowOff>
    </xdr:to>
    <xdr:sp macro="" textlink="">
      <xdr:nvSpPr>
        <xdr:cNvPr id="2" name="TextBox 1">
          <a:extLst>
            <a:ext uri="{FF2B5EF4-FFF2-40B4-BE49-F238E27FC236}">
              <a16:creationId xmlns:a16="http://schemas.microsoft.com/office/drawing/2014/main" id="{92F432C5-D7A2-46C8-85E4-2A7B1E23B99D}"/>
            </a:ext>
          </a:extLst>
        </xdr:cNvPr>
        <xdr:cNvSpPr txBox="1"/>
      </xdr:nvSpPr>
      <xdr:spPr>
        <a:xfrm>
          <a:off x="822960" y="1104900"/>
          <a:ext cx="5013960" cy="21869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To test whether a</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pre-treatment to the glassware or dilution of the sample with zinc acetate</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had effect on sulphide recovery, 50 ml batch bottles were filled with either (A) demineralised water, (B)</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bicarbonate buffer (1M, pH 10) or (C) bicarbonate buffer with 1.7 mM sulphide. Bicarbonate buffer was prepared by increasing the pH of 1M NaHCO3 solution with 5 wt% NaOH. The bottles were incubated overnight at 30°C. </a:t>
          </a:r>
          <a:endParaRPr lang="nl-NL" sz="1100">
            <a:solidFill>
              <a:schemeClr val="dk1"/>
            </a:solidFill>
            <a:effectLst/>
            <a:latin typeface="+mn-lt"/>
            <a:ea typeface="+mn-ea"/>
            <a:cs typeface="+mn-cs"/>
          </a:endParaRPr>
        </a:p>
        <a:p>
          <a:r>
            <a:rPr lang="en-GB" sz="1100">
              <a:solidFill>
                <a:schemeClr val="dk1"/>
              </a:solidFill>
              <a:effectLst/>
              <a:latin typeface="+mn-lt"/>
              <a:ea typeface="+mn-ea"/>
              <a:cs typeface="+mn-cs"/>
            </a:rPr>
            <a:t>Then, the batch bottles were rinsed with demineralised water and 1M NaHCO3 (pH 8.7, deaerated with nitrogen gas) was added. After closing the bottles 27.6 mg/L sulphide was added and stirred for an hour. The Hach Lange tubes (LCK653) were prepared by adding either 3.75 ml demiwater or 0.1M Zinc Acetate. Sulphide was measured by adding 0.25 ml sample to the Hach Lange tube, a 16x dilution, after which the manufacturer’s manual was followed. </a:t>
          </a:r>
          <a:endParaRPr lang="nl-NL" sz="1100">
            <a:solidFill>
              <a:schemeClr val="dk1"/>
            </a:solidFill>
            <a:effectLst/>
            <a:latin typeface="+mn-lt"/>
            <a:ea typeface="+mn-ea"/>
            <a:cs typeface="+mn-cs"/>
          </a:endParaRPr>
        </a:p>
        <a:p>
          <a:endParaRPr lang="nl-NL"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22"/>
  <sheetViews>
    <sheetView tabSelected="1" workbookViewId="0">
      <selection activeCell="G26" sqref="G26"/>
    </sheetView>
  </sheetViews>
  <sheetFormatPr defaultRowHeight="14.4" x14ac:dyDescent="0.3"/>
  <cols>
    <col min="1" max="1" width="8.88671875" style="11"/>
  </cols>
  <sheetData>
    <row r="1" spans="1:21" x14ac:dyDescent="0.3">
      <c r="A1" s="3" t="s">
        <v>2</v>
      </c>
      <c r="B1" s="1">
        <v>3</v>
      </c>
      <c r="C1" s="2" t="s">
        <v>3</v>
      </c>
      <c r="D1" s="1">
        <v>3</v>
      </c>
      <c r="E1" s="2" t="s">
        <v>3</v>
      </c>
      <c r="F1" s="1">
        <v>3</v>
      </c>
      <c r="G1" s="2" t="s">
        <v>3</v>
      </c>
      <c r="H1" s="1">
        <v>3</v>
      </c>
      <c r="I1" s="2" t="s">
        <v>3</v>
      </c>
      <c r="J1" s="1">
        <v>3</v>
      </c>
      <c r="K1" s="2" t="s">
        <v>3</v>
      </c>
      <c r="L1" s="1">
        <v>6</v>
      </c>
      <c r="M1" s="2" t="s">
        <v>3</v>
      </c>
      <c r="N1" s="1">
        <v>0.3</v>
      </c>
      <c r="O1" s="2" t="s">
        <v>3</v>
      </c>
      <c r="P1" s="1">
        <v>24</v>
      </c>
      <c r="Q1" s="2" t="s">
        <v>3</v>
      </c>
      <c r="R1" s="1">
        <v>24</v>
      </c>
      <c r="S1" s="2" t="s">
        <v>3</v>
      </c>
      <c r="T1" s="1">
        <v>0</v>
      </c>
      <c r="U1" s="2" t="s">
        <v>3</v>
      </c>
    </row>
    <row r="2" spans="1:21" x14ac:dyDescent="0.3">
      <c r="A2" s="3" t="s">
        <v>170</v>
      </c>
      <c r="B2">
        <v>0.1</v>
      </c>
      <c r="C2" s="3" t="s">
        <v>0</v>
      </c>
      <c r="D2">
        <v>0.2</v>
      </c>
      <c r="E2" s="3" t="s">
        <v>0</v>
      </c>
      <c r="F2">
        <v>0.5</v>
      </c>
      <c r="G2" s="3" t="s">
        <v>0</v>
      </c>
      <c r="H2">
        <v>1</v>
      </c>
      <c r="I2" s="3" t="s">
        <v>0</v>
      </c>
      <c r="J2">
        <v>0.35</v>
      </c>
      <c r="K2" s="3" t="s">
        <v>0</v>
      </c>
      <c r="L2">
        <v>0.35</v>
      </c>
      <c r="M2" s="3" t="s">
        <v>0</v>
      </c>
      <c r="N2">
        <v>0.35</v>
      </c>
      <c r="O2" s="3" t="s">
        <v>0</v>
      </c>
      <c r="P2">
        <v>0.35</v>
      </c>
      <c r="Q2" s="3" t="s">
        <v>0</v>
      </c>
      <c r="R2">
        <v>1</v>
      </c>
      <c r="S2" s="3" t="s">
        <v>0</v>
      </c>
      <c r="T2">
        <v>0.35</v>
      </c>
      <c r="U2" s="3" t="s">
        <v>0</v>
      </c>
    </row>
    <row r="3" spans="1:21" x14ac:dyDescent="0.3">
      <c r="A3" s="6"/>
      <c r="B3" t="s">
        <v>1</v>
      </c>
      <c r="C3" s="3" t="s">
        <v>169</v>
      </c>
      <c r="D3" t="s">
        <v>1</v>
      </c>
      <c r="E3" s="3" t="s">
        <v>169</v>
      </c>
      <c r="F3" t="s">
        <v>1</v>
      </c>
      <c r="G3" s="3" t="s">
        <v>169</v>
      </c>
      <c r="H3" t="s">
        <v>1</v>
      </c>
      <c r="I3" s="3" t="s">
        <v>169</v>
      </c>
      <c r="J3" t="s">
        <v>1</v>
      </c>
      <c r="K3" s="3" t="s">
        <v>169</v>
      </c>
      <c r="L3" t="s">
        <v>1</v>
      </c>
      <c r="M3" s="3" t="s">
        <v>169</v>
      </c>
      <c r="N3" t="s">
        <v>1</v>
      </c>
      <c r="O3" s="3" t="s">
        <v>169</v>
      </c>
      <c r="P3" t="s">
        <v>1</v>
      </c>
      <c r="Q3" s="3" t="s">
        <v>169</v>
      </c>
      <c r="R3" t="s">
        <v>1</v>
      </c>
      <c r="S3" s="3" t="s">
        <v>169</v>
      </c>
      <c r="T3" t="s">
        <v>1</v>
      </c>
      <c r="U3" s="3" t="s">
        <v>169</v>
      </c>
    </row>
    <row r="4" spans="1:21" x14ac:dyDescent="0.3">
      <c r="A4" s="3"/>
      <c r="B4" s="1">
        <v>0</v>
      </c>
      <c r="C4" s="2">
        <f>2*1.54</f>
        <v>3.08</v>
      </c>
      <c r="D4" s="1">
        <v>1</v>
      </c>
      <c r="E4" s="2">
        <f>4*1.14</f>
        <v>4.5599999999999996</v>
      </c>
      <c r="F4" s="1">
        <v>1</v>
      </c>
      <c r="G4" s="2">
        <f>8*1.64</f>
        <v>13.12</v>
      </c>
      <c r="H4" s="1">
        <v>1</v>
      </c>
      <c r="I4" s="2">
        <f>26.666*0.843</f>
        <v>22.479437999999998</v>
      </c>
      <c r="J4" s="1">
        <v>0</v>
      </c>
      <c r="K4" s="2">
        <f>8*1.58</f>
        <v>12.64</v>
      </c>
      <c r="L4" s="1">
        <v>1</v>
      </c>
      <c r="M4" s="2">
        <f>8*0.692</f>
        <v>5.5359999999999996</v>
      </c>
      <c r="N4" s="1">
        <v>1</v>
      </c>
      <c r="O4" s="2">
        <f>8*1.47</f>
        <v>11.76</v>
      </c>
      <c r="P4" s="1">
        <v>1</v>
      </c>
      <c r="Q4" s="2">
        <f>8*0.543</f>
        <v>4.3440000000000003</v>
      </c>
      <c r="R4" s="1">
        <v>0</v>
      </c>
      <c r="S4" s="2">
        <f>26.6*0.848</f>
        <v>22.556799999999999</v>
      </c>
      <c r="T4" s="1">
        <v>1.5</v>
      </c>
      <c r="U4" s="2">
        <f>8*1.52</f>
        <v>12.16</v>
      </c>
    </row>
    <row r="5" spans="1:21" x14ac:dyDescent="0.3">
      <c r="A5" s="3"/>
      <c r="B5">
        <v>0</v>
      </c>
      <c r="C5" s="3">
        <f>2*1.59</f>
        <v>3.18</v>
      </c>
      <c r="D5">
        <v>1.5</v>
      </c>
      <c r="E5" s="3">
        <f>4*1.03</f>
        <v>4.12</v>
      </c>
      <c r="F5">
        <v>1.5</v>
      </c>
      <c r="G5" s="3">
        <f>8*2.04</f>
        <v>16.32</v>
      </c>
      <c r="H5">
        <v>1.5</v>
      </c>
      <c r="I5" s="3">
        <f>26.6*1.04</f>
        <v>27.664000000000001</v>
      </c>
      <c r="J5">
        <v>0</v>
      </c>
      <c r="K5" s="3">
        <f>8*0.804</f>
        <v>6.4320000000000004</v>
      </c>
      <c r="L5">
        <v>2</v>
      </c>
      <c r="M5" s="3">
        <f>8*1.06</f>
        <v>8.48</v>
      </c>
      <c r="N5">
        <v>1.5</v>
      </c>
      <c r="O5" s="3">
        <f>8*1.4</f>
        <v>11.2</v>
      </c>
      <c r="P5">
        <v>2.5</v>
      </c>
      <c r="Q5" s="3">
        <f>8*0.082</f>
        <v>0.65600000000000003</v>
      </c>
      <c r="R5">
        <v>1</v>
      </c>
      <c r="S5" s="3">
        <f>26.6*0.5277</f>
        <v>14.036819999999999</v>
      </c>
      <c r="T5">
        <v>1</v>
      </c>
      <c r="U5" s="3">
        <f>8*1.23</f>
        <v>9.84</v>
      </c>
    </row>
    <row r="6" spans="1:21" x14ac:dyDescent="0.3">
      <c r="A6" s="3"/>
      <c r="B6">
        <v>1</v>
      </c>
      <c r="C6" s="3">
        <f>4*0.4</f>
        <v>1.6</v>
      </c>
      <c r="D6">
        <v>1</v>
      </c>
      <c r="E6" s="3">
        <f>4*1.43</f>
        <v>5.72</v>
      </c>
      <c r="F6">
        <v>2.5</v>
      </c>
      <c r="G6" s="3">
        <f>8*1.77</f>
        <v>14.16</v>
      </c>
      <c r="H6">
        <v>3</v>
      </c>
      <c r="I6" s="3">
        <f>26.6*1.16</f>
        <v>30.855999999999998</v>
      </c>
      <c r="J6">
        <v>1</v>
      </c>
      <c r="K6" s="3">
        <f>8*0.824</f>
        <v>6.5919999999999996</v>
      </c>
      <c r="L6">
        <v>3</v>
      </c>
      <c r="M6" s="3">
        <f>8*0.686</f>
        <v>5.4880000000000004</v>
      </c>
      <c r="N6">
        <v>3.5</v>
      </c>
      <c r="O6" s="3">
        <f>8*1.4</f>
        <v>11.2</v>
      </c>
      <c r="P6">
        <v>5.5</v>
      </c>
      <c r="Q6" s="3">
        <f>4*0.275</f>
        <v>1.1000000000000001</v>
      </c>
      <c r="R6">
        <v>2.5</v>
      </c>
      <c r="S6" s="3">
        <f>26.6*0.545</f>
        <v>14.497000000000002</v>
      </c>
      <c r="T6">
        <v>2.5</v>
      </c>
      <c r="U6" s="3">
        <f>8*1.39</f>
        <v>11.12</v>
      </c>
    </row>
    <row r="7" spans="1:21" x14ac:dyDescent="0.3">
      <c r="A7" s="3"/>
      <c r="B7">
        <v>1</v>
      </c>
      <c r="C7" s="3">
        <f>4*0.808</f>
        <v>3.2320000000000002</v>
      </c>
      <c r="D7">
        <v>2.5</v>
      </c>
      <c r="E7" s="3">
        <f>4*0.839</f>
        <v>3.3559999999999999</v>
      </c>
      <c r="F7">
        <v>3</v>
      </c>
      <c r="G7" s="3">
        <f>8*1.77</f>
        <v>14.16</v>
      </c>
      <c r="H7">
        <v>3.5</v>
      </c>
      <c r="I7" s="3">
        <f>26.6*0.964</f>
        <v>25.642400000000002</v>
      </c>
      <c r="J7">
        <v>1.5</v>
      </c>
      <c r="K7" s="3">
        <f>8*0.516</f>
        <v>4.1280000000000001</v>
      </c>
      <c r="L7">
        <v>4</v>
      </c>
      <c r="M7" s="3">
        <f>8*0.816</f>
        <v>6.5279999999999996</v>
      </c>
      <c r="N7">
        <v>3.5</v>
      </c>
      <c r="O7" s="3">
        <f>8*1.28</f>
        <v>10.24</v>
      </c>
      <c r="P7">
        <v>10</v>
      </c>
      <c r="Q7" s="3">
        <f>2*0.36</f>
        <v>0.72</v>
      </c>
      <c r="R7">
        <v>5.5</v>
      </c>
      <c r="S7" s="3">
        <f>26.6*0.585</f>
        <v>15.561</v>
      </c>
      <c r="T7">
        <v>3</v>
      </c>
      <c r="U7" s="3">
        <f>8*1.64</f>
        <v>13.12</v>
      </c>
    </row>
    <row r="8" spans="1:21" x14ac:dyDescent="0.3">
      <c r="A8" s="3"/>
      <c r="B8">
        <v>2.5</v>
      </c>
      <c r="C8" s="3">
        <f>4*0.418</f>
        <v>1.6719999999999999</v>
      </c>
      <c r="D8">
        <v>2.5</v>
      </c>
      <c r="E8" s="3">
        <f>4*0.635</f>
        <v>2.54</v>
      </c>
      <c r="F8">
        <v>5</v>
      </c>
      <c r="G8" s="3">
        <f>8*2.78</f>
        <v>22.24</v>
      </c>
      <c r="H8">
        <v>5</v>
      </c>
      <c r="I8" s="3">
        <f>26.6*0.684</f>
        <v>18.194400000000002</v>
      </c>
      <c r="J8">
        <v>2.5</v>
      </c>
      <c r="K8" s="3">
        <f>8*1.18</f>
        <v>9.44</v>
      </c>
      <c r="L8">
        <v>5.5</v>
      </c>
      <c r="M8" s="3">
        <f>8*0.479</f>
        <v>3.8319999999999999</v>
      </c>
      <c r="N8">
        <v>6</v>
      </c>
      <c r="O8" s="3">
        <f>8*1.04</f>
        <v>8.32</v>
      </c>
      <c r="P8">
        <v>23</v>
      </c>
      <c r="Q8" s="3">
        <v>0</v>
      </c>
      <c r="R8">
        <v>11</v>
      </c>
      <c r="S8" s="3">
        <f>13.3*1.37</f>
        <v>18.221000000000004</v>
      </c>
      <c r="T8">
        <v>5</v>
      </c>
      <c r="U8" s="3">
        <f>8*1.5</f>
        <v>12</v>
      </c>
    </row>
    <row r="9" spans="1:21" x14ac:dyDescent="0.3">
      <c r="A9" s="3"/>
      <c r="B9">
        <v>2.5</v>
      </c>
      <c r="C9" s="3">
        <f>4*1.44</f>
        <v>5.76</v>
      </c>
      <c r="D9">
        <v>5</v>
      </c>
      <c r="E9" s="3">
        <f>4*0.548</f>
        <v>2.1920000000000002</v>
      </c>
      <c r="F9">
        <v>5.5</v>
      </c>
      <c r="G9" s="3">
        <f>8*1.55</f>
        <v>12.4</v>
      </c>
      <c r="H9">
        <v>5.5</v>
      </c>
      <c r="I9" s="3">
        <f>26.6*1.32</f>
        <v>35.112000000000002</v>
      </c>
      <c r="J9">
        <v>3</v>
      </c>
      <c r="K9" s="3">
        <f>8*0.906</f>
        <v>7.2480000000000002</v>
      </c>
      <c r="L9">
        <v>6</v>
      </c>
      <c r="M9" s="3">
        <f>8*0.682</f>
        <v>5.4560000000000004</v>
      </c>
      <c r="N9">
        <v>6.5</v>
      </c>
      <c r="O9" s="3">
        <f>8*1.32</f>
        <v>10.56</v>
      </c>
      <c r="P9">
        <v>30</v>
      </c>
      <c r="Q9" s="3">
        <v>0</v>
      </c>
      <c r="R9">
        <v>20</v>
      </c>
      <c r="S9" s="3">
        <f>13.3*1.43</f>
        <v>19.019000000000002</v>
      </c>
      <c r="T9">
        <v>5.5</v>
      </c>
      <c r="U9" s="3">
        <f>8*1.64</f>
        <v>13.12</v>
      </c>
    </row>
    <row r="10" spans="1:21" x14ac:dyDescent="0.3">
      <c r="A10" s="3"/>
      <c r="B10">
        <v>5</v>
      </c>
      <c r="C10" s="3">
        <f>4*0.207</f>
        <v>0.82799999999999996</v>
      </c>
      <c r="D10">
        <v>5</v>
      </c>
      <c r="E10" s="3">
        <f>4*0.978</f>
        <v>3.9119999999999999</v>
      </c>
      <c r="F10">
        <v>10</v>
      </c>
      <c r="G10" s="3">
        <f>16*1.08</f>
        <v>17.28</v>
      </c>
      <c r="H10">
        <v>10</v>
      </c>
      <c r="I10" s="3">
        <f>26.6*1.03</f>
        <v>27.398000000000003</v>
      </c>
      <c r="J10">
        <v>5</v>
      </c>
      <c r="K10" s="3">
        <f>8*1.11</f>
        <v>8.8800000000000008</v>
      </c>
      <c r="L10">
        <v>10</v>
      </c>
      <c r="M10" s="3">
        <f>8.5*0.301</f>
        <v>2.5585</v>
      </c>
      <c r="N10">
        <v>11</v>
      </c>
      <c r="O10" s="3">
        <f>8*0.898</f>
        <v>7.1840000000000002</v>
      </c>
      <c r="P10">
        <v>3.5</v>
      </c>
      <c r="Q10" s="3">
        <f>8*0.147</f>
        <v>1.1759999999999999</v>
      </c>
      <c r="R10">
        <v>30</v>
      </c>
      <c r="S10" s="3">
        <f>13.3*1.25</f>
        <v>16.625</v>
      </c>
      <c r="T10">
        <v>20</v>
      </c>
      <c r="U10" s="3">
        <f>8*1.39</f>
        <v>11.12</v>
      </c>
    </row>
    <row r="11" spans="1:21" x14ac:dyDescent="0.3">
      <c r="A11" s="3"/>
      <c r="B11">
        <v>5</v>
      </c>
      <c r="C11" s="3">
        <f>4*0.634</f>
        <v>2.536</v>
      </c>
      <c r="D11">
        <v>5</v>
      </c>
      <c r="E11" s="3">
        <f>4*0.645</f>
        <v>2.58</v>
      </c>
      <c r="F11">
        <v>10</v>
      </c>
      <c r="G11" s="3">
        <f>16*0.591</f>
        <v>9.4559999999999995</v>
      </c>
      <c r="H11">
        <v>10</v>
      </c>
      <c r="I11" s="3">
        <f>26.6*1.07</f>
        <v>28.462000000000003</v>
      </c>
      <c r="J11">
        <v>5.5</v>
      </c>
      <c r="K11" s="3">
        <f>8*0.883</f>
        <v>7.0640000000000001</v>
      </c>
      <c r="L11">
        <v>11.5</v>
      </c>
      <c r="M11" s="3">
        <f>8.5*0.499</f>
        <v>4.2415000000000003</v>
      </c>
      <c r="N11">
        <v>12</v>
      </c>
      <c r="O11" s="3">
        <f>8*1.38</f>
        <v>11.04</v>
      </c>
      <c r="P11">
        <v>7</v>
      </c>
      <c r="Q11" s="3">
        <f>2*0.635</f>
        <v>1.27</v>
      </c>
      <c r="R11">
        <v>0</v>
      </c>
      <c r="S11" s="3">
        <f>26.6*1.27</f>
        <v>33.782000000000004</v>
      </c>
      <c r="T11">
        <v>21</v>
      </c>
      <c r="U11" s="3">
        <f>8*1.21</f>
        <v>9.68</v>
      </c>
    </row>
    <row r="12" spans="1:21" x14ac:dyDescent="0.3">
      <c r="A12" s="3"/>
      <c r="B12">
        <v>10</v>
      </c>
      <c r="C12" s="3">
        <f>2*0</f>
        <v>0</v>
      </c>
      <c r="D12">
        <v>10</v>
      </c>
      <c r="E12" s="3">
        <f>4*0.411</f>
        <v>1.6439999999999999</v>
      </c>
      <c r="F12">
        <v>20</v>
      </c>
      <c r="G12" s="3">
        <f>16*1.03</f>
        <v>16.48</v>
      </c>
      <c r="H12">
        <v>20</v>
      </c>
      <c r="I12" s="3">
        <f>26.6*0.946</f>
        <v>25.163599999999999</v>
      </c>
      <c r="J12">
        <v>10</v>
      </c>
      <c r="K12" s="3">
        <f>4*0.642</f>
        <v>2.5680000000000001</v>
      </c>
      <c r="L12">
        <v>20</v>
      </c>
      <c r="M12" s="3">
        <f>4*0.109</f>
        <v>0.436</v>
      </c>
      <c r="N12">
        <v>20</v>
      </c>
      <c r="O12" s="3">
        <f>8*0.807</f>
        <v>6.4560000000000004</v>
      </c>
      <c r="P12">
        <v>15</v>
      </c>
      <c r="Q12" s="3">
        <f>2*0.375</f>
        <v>0.75</v>
      </c>
      <c r="R12">
        <v>1</v>
      </c>
      <c r="S12" s="3">
        <f>26.6*0.97</f>
        <v>25.802</v>
      </c>
      <c r="T12">
        <v>29</v>
      </c>
      <c r="U12" s="3">
        <f>8*1.35</f>
        <v>10.8</v>
      </c>
    </row>
    <row r="13" spans="1:21" x14ac:dyDescent="0.3">
      <c r="A13" s="3"/>
      <c r="B13">
        <v>10</v>
      </c>
      <c r="C13" s="3">
        <f>2*0</f>
        <v>0</v>
      </c>
      <c r="D13">
        <v>10</v>
      </c>
      <c r="E13" s="3">
        <f>4*0.38</f>
        <v>1.52</v>
      </c>
      <c r="F13">
        <v>20</v>
      </c>
      <c r="G13" s="3">
        <f>16*0.464</f>
        <v>7.4240000000000004</v>
      </c>
      <c r="H13">
        <v>20</v>
      </c>
      <c r="I13" s="3">
        <f>26.6*0.758</f>
        <v>20.162800000000001</v>
      </c>
      <c r="J13">
        <v>10.5</v>
      </c>
      <c r="K13" s="3">
        <f>4*0.577</f>
        <v>2.3079999999999998</v>
      </c>
      <c r="L13">
        <v>21</v>
      </c>
      <c r="M13" s="3">
        <f>4*0.271</f>
        <v>1.0840000000000001</v>
      </c>
      <c r="N13">
        <v>20</v>
      </c>
      <c r="O13" s="3">
        <f>8*0.833</f>
        <v>6.6639999999999997</v>
      </c>
      <c r="P13">
        <v>25</v>
      </c>
      <c r="Q13" s="3">
        <f>2*0.15</f>
        <v>0.3</v>
      </c>
      <c r="R13">
        <v>2.5</v>
      </c>
      <c r="S13" s="3">
        <f>26.6*0.967</f>
        <v>25.722200000000001</v>
      </c>
      <c r="T13">
        <v>30</v>
      </c>
      <c r="U13" s="3">
        <f>8*1.68</f>
        <v>13.44</v>
      </c>
    </row>
    <row r="14" spans="1:21" x14ac:dyDescent="0.3">
      <c r="A14" s="3"/>
      <c r="B14">
        <v>10</v>
      </c>
      <c r="C14" s="3">
        <f>2*1.16</f>
        <v>2.3199999999999998</v>
      </c>
      <c r="D14">
        <v>10</v>
      </c>
      <c r="E14" s="3">
        <f>4*0.182</f>
        <v>0.72799999999999998</v>
      </c>
      <c r="F14">
        <v>30</v>
      </c>
      <c r="G14" s="3">
        <f>8*0.806</f>
        <v>6.4480000000000004</v>
      </c>
      <c r="H14">
        <v>30</v>
      </c>
      <c r="I14" s="3">
        <f>26.6*1.05</f>
        <v>27.930000000000003</v>
      </c>
      <c r="J14">
        <v>20.5</v>
      </c>
      <c r="K14" s="3">
        <f>2*0.402</f>
        <v>0.80400000000000005</v>
      </c>
      <c r="L14">
        <v>30</v>
      </c>
      <c r="M14" s="3">
        <v>0</v>
      </c>
      <c r="N14">
        <v>30</v>
      </c>
      <c r="O14" s="3">
        <f>8*0.83</f>
        <v>6.64</v>
      </c>
      <c r="Q14" s="3"/>
      <c r="R14">
        <v>5</v>
      </c>
      <c r="S14" s="3">
        <f>26.6*0.64</f>
        <v>17.024000000000001</v>
      </c>
      <c r="U14" s="3"/>
    </row>
    <row r="15" spans="1:21" x14ac:dyDescent="0.3">
      <c r="A15" s="3"/>
      <c r="B15">
        <v>20</v>
      </c>
      <c r="C15" s="3">
        <f>2*0.132</f>
        <v>0.26400000000000001</v>
      </c>
      <c r="D15">
        <v>15</v>
      </c>
      <c r="E15" s="3">
        <f>2*0.171</f>
        <v>0.34200000000000003</v>
      </c>
      <c r="F15">
        <v>4.5</v>
      </c>
      <c r="G15" s="3">
        <f>8*1.63</f>
        <v>13.04</v>
      </c>
      <c r="H15">
        <v>30</v>
      </c>
      <c r="I15" s="3">
        <f>26.6*0.904</f>
        <v>24.046400000000002</v>
      </c>
      <c r="J15">
        <v>21</v>
      </c>
      <c r="K15" s="3">
        <f>2*0.607</f>
        <v>1.214</v>
      </c>
      <c r="L15">
        <v>31</v>
      </c>
      <c r="M15" s="3">
        <f>2*0.41</f>
        <v>0.82</v>
      </c>
      <c r="N15">
        <v>32</v>
      </c>
      <c r="O15" s="3">
        <f>8*0.785</f>
        <v>6.28</v>
      </c>
      <c r="Q15" s="3"/>
      <c r="R15">
        <v>10</v>
      </c>
      <c r="S15" s="3">
        <f>26.6*0.85</f>
        <v>22.61</v>
      </c>
      <c r="U15" s="3"/>
    </row>
    <row r="16" spans="1:21" x14ac:dyDescent="0.3">
      <c r="A16" s="3"/>
      <c r="B16">
        <v>1.5</v>
      </c>
      <c r="C16" s="3">
        <f>2*0.71</f>
        <v>1.42</v>
      </c>
      <c r="D16">
        <v>20</v>
      </c>
      <c r="E16" s="3">
        <f>2*0.1</f>
        <v>0.2</v>
      </c>
      <c r="F16">
        <v>11</v>
      </c>
      <c r="G16" s="3">
        <f>8*0.766</f>
        <v>6.1280000000000001</v>
      </c>
      <c r="H16">
        <v>2</v>
      </c>
      <c r="I16" s="3">
        <f>26.6*1.39</f>
        <v>36.973999999999997</v>
      </c>
      <c r="J16">
        <v>30</v>
      </c>
      <c r="K16" s="3">
        <f>1*0.172</f>
        <v>0.17199999999999999</v>
      </c>
      <c r="M16" s="3"/>
      <c r="O16" s="3"/>
      <c r="Q16" s="3"/>
      <c r="R16">
        <v>22</v>
      </c>
      <c r="S16" s="3">
        <f>26.6*0.842</f>
        <v>22.397200000000002</v>
      </c>
      <c r="U16" s="3"/>
    </row>
    <row r="17" spans="1:21" x14ac:dyDescent="0.3">
      <c r="A17" s="3"/>
      <c r="B17">
        <v>3</v>
      </c>
      <c r="C17" s="3">
        <f>2*0.229</f>
        <v>0.45800000000000002</v>
      </c>
      <c r="D17">
        <v>20</v>
      </c>
      <c r="E17" s="3">
        <v>0</v>
      </c>
      <c r="F17">
        <v>20</v>
      </c>
      <c r="G17" s="3">
        <f>8*0.364</f>
        <v>2.9119999999999999</v>
      </c>
      <c r="H17">
        <v>4</v>
      </c>
      <c r="I17" s="3">
        <f>26.6*1.21</f>
        <v>32.186</v>
      </c>
      <c r="J17">
        <v>1</v>
      </c>
      <c r="K17" s="3">
        <f>8*1.05</f>
        <v>8.4</v>
      </c>
      <c r="M17" s="3"/>
      <c r="O17" s="3"/>
      <c r="Q17" s="3"/>
      <c r="R17">
        <v>32</v>
      </c>
      <c r="S17" s="3">
        <f>26.6*0.681</f>
        <v>18.114600000000003</v>
      </c>
      <c r="U17" s="3"/>
    </row>
    <row r="18" spans="1:21" x14ac:dyDescent="0.3">
      <c r="A18" s="3"/>
      <c r="B18">
        <v>6</v>
      </c>
      <c r="C18" s="3">
        <v>0</v>
      </c>
      <c r="E18" s="3"/>
      <c r="F18">
        <v>30</v>
      </c>
      <c r="G18" s="3">
        <f>4*0.228</f>
        <v>0.91200000000000003</v>
      </c>
      <c r="H18">
        <v>6.5</v>
      </c>
      <c r="I18" s="3">
        <f>26.6*0.998</f>
        <v>26.546800000000001</v>
      </c>
      <c r="J18">
        <v>3</v>
      </c>
      <c r="K18" s="3">
        <f>8*0.789</f>
        <v>6.3120000000000003</v>
      </c>
      <c r="M18" s="3"/>
      <c r="O18" s="3"/>
      <c r="Q18" s="3"/>
      <c r="S18" s="3"/>
      <c r="U18" s="3"/>
    </row>
    <row r="19" spans="1:21" x14ac:dyDescent="0.3">
      <c r="A19" s="3"/>
      <c r="B19">
        <v>10</v>
      </c>
      <c r="C19" s="3">
        <v>0</v>
      </c>
      <c r="E19" s="3"/>
      <c r="G19" s="3"/>
      <c r="H19">
        <v>11</v>
      </c>
      <c r="I19" s="3">
        <f>26.6*1.04</f>
        <v>27.664000000000001</v>
      </c>
      <c r="J19">
        <v>5.5</v>
      </c>
      <c r="K19" s="3">
        <f>8*1.01</f>
        <v>8.08</v>
      </c>
      <c r="M19" s="3"/>
      <c r="O19" s="3"/>
      <c r="Q19" s="3"/>
      <c r="S19" s="3"/>
      <c r="U19" s="3"/>
    </row>
    <row r="20" spans="1:21" x14ac:dyDescent="0.3">
      <c r="A20" s="3"/>
      <c r="B20">
        <v>15</v>
      </c>
      <c r="C20" s="3">
        <v>0</v>
      </c>
      <c r="E20" s="3"/>
      <c r="G20" s="3"/>
      <c r="H20">
        <v>22</v>
      </c>
      <c r="I20" s="3">
        <f>26.6*0.793</f>
        <v>21.093800000000002</v>
      </c>
      <c r="J20">
        <v>10</v>
      </c>
      <c r="K20" s="3">
        <f>8*0.603</f>
        <v>4.8239999999999998</v>
      </c>
      <c r="M20" s="3"/>
      <c r="O20" s="3"/>
      <c r="Q20" s="3"/>
      <c r="S20" s="3"/>
      <c r="U20" s="3"/>
    </row>
    <row r="21" spans="1:21" x14ac:dyDescent="0.3">
      <c r="A21" s="3"/>
      <c r="C21" s="3"/>
      <c r="E21" s="3"/>
      <c r="G21" s="3"/>
      <c r="H21">
        <v>33</v>
      </c>
      <c r="I21" s="3">
        <f>26.6*0.384</f>
        <v>10.214400000000001</v>
      </c>
      <c r="J21">
        <v>20</v>
      </c>
      <c r="K21" s="3">
        <f>4*0.398</f>
        <v>1.5920000000000001</v>
      </c>
      <c r="M21" s="3"/>
      <c r="O21" s="3"/>
      <c r="Q21" s="3"/>
      <c r="S21" s="3"/>
      <c r="U21" s="3"/>
    </row>
    <row r="22" spans="1:21" x14ac:dyDescent="0.3">
      <c r="A22" s="3"/>
      <c r="C22" s="3"/>
      <c r="E22" s="3"/>
      <c r="G22" s="3"/>
      <c r="I22" s="3"/>
      <c r="J22">
        <v>30</v>
      </c>
      <c r="K22" s="3">
        <f>2*0.21</f>
        <v>0.42</v>
      </c>
      <c r="M22" s="3"/>
      <c r="O22" s="3"/>
      <c r="Q22" s="3"/>
      <c r="S22" s="3"/>
      <c r="U2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929D8-70D5-466E-B40A-C2179A0EE5F8}">
  <dimension ref="A1:H8"/>
  <sheetViews>
    <sheetView workbookViewId="0">
      <selection activeCell="I15" sqref="I15"/>
    </sheetView>
  </sheetViews>
  <sheetFormatPr defaultRowHeight="14.4" x14ac:dyDescent="0.3"/>
  <cols>
    <col min="1" max="1" width="12" customWidth="1"/>
    <col min="8" max="8" width="19.88671875" customWidth="1"/>
    <col min="9" max="9" width="22.21875" customWidth="1"/>
    <col min="10" max="10" width="13" customWidth="1"/>
    <col min="11" max="11" width="20.109375" customWidth="1"/>
    <col min="12" max="12" width="16" customWidth="1"/>
  </cols>
  <sheetData>
    <row r="1" spans="1:8" x14ac:dyDescent="0.3">
      <c r="B1" s="12" t="s">
        <v>4</v>
      </c>
      <c r="C1" s="13"/>
      <c r="D1" s="13"/>
      <c r="E1" s="13"/>
      <c r="F1" s="14"/>
    </row>
    <row r="2" spans="1:8" x14ac:dyDescent="0.3">
      <c r="A2" s="11"/>
      <c r="B2" s="4" t="s">
        <v>5</v>
      </c>
      <c r="C2" s="5" t="s">
        <v>6</v>
      </c>
      <c r="D2" s="5" t="s">
        <v>7</v>
      </c>
      <c r="E2" s="5" t="s">
        <v>8</v>
      </c>
      <c r="F2" s="6" t="s">
        <v>9</v>
      </c>
    </row>
    <row r="3" spans="1:8" x14ac:dyDescent="0.3">
      <c r="A3" s="11"/>
      <c r="B3" s="15" t="s">
        <v>171</v>
      </c>
      <c r="C3" s="16"/>
      <c r="D3" s="16"/>
      <c r="E3" s="16"/>
      <c r="F3" s="17"/>
    </row>
    <row r="4" spans="1:8" x14ac:dyDescent="0.3">
      <c r="A4" s="11"/>
      <c r="B4" s="8">
        <v>1.17</v>
      </c>
      <c r="C4" s="11">
        <v>1.44</v>
      </c>
      <c r="D4" s="11">
        <v>1.41</v>
      </c>
      <c r="E4" s="11">
        <v>1.18</v>
      </c>
      <c r="F4" s="3">
        <v>1.77</v>
      </c>
    </row>
    <row r="5" spans="1:8" x14ac:dyDescent="0.3">
      <c r="A5" s="11"/>
      <c r="B5" s="8">
        <v>1.32</v>
      </c>
      <c r="C5" s="11">
        <v>1.59</v>
      </c>
      <c r="D5" s="11">
        <v>1.22</v>
      </c>
      <c r="E5" s="11">
        <v>1.49</v>
      </c>
      <c r="F5" s="3">
        <v>1.88</v>
      </c>
    </row>
    <row r="6" spans="1:8" x14ac:dyDescent="0.3">
      <c r="A6" s="11"/>
      <c r="B6" s="4">
        <v>1.61</v>
      </c>
      <c r="C6" s="5">
        <v>1.89</v>
      </c>
      <c r="D6" s="5"/>
      <c r="E6" s="5">
        <v>1.53</v>
      </c>
      <c r="F6" s="6">
        <v>1.65</v>
      </c>
    </row>
    <row r="8" spans="1:8" x14ac:dyDescent="0.3">
      <c r="B8" s="9"/>
      <c r="C8" s="9"/>
      <c r="D8" s="9"/>
      <c r="E8" s="9"/>
      <c r="F8" s="9"/>
      <c r="G8" s="9"/>
      <c r="H8" s="10"/>
    </row>
  </sheetData>
  <mergeCells count="2">
    <mergeCell ref="B1:F1"/>
    <mergeCell ref="B3:F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8CF737-A1AE-41D6-9856-B0196D0BB8B3}">
  <dimension ref="A1:E16"/>
  <sheetViews>
    <sheetView workbookViewId="0">
      <selection activeCell="A4" sqref="A4"/>
    </sheetView>
  </sheetViews>
  <sheetFormatPr defaultRowHeight="14.4" x14ac:dyDescent="0.3"/>
  <sheetData>
    <row r="1" spans="1:5" x14ac:dyDescent="0.3">
      <c r="B1" t="s">
        <v>10</v>
      </c>
      <c r="D1" t="s">
        <v>11</v>
      </c>
    </row>
    <row r="2" spans="1:5" x14ac:dyDescent="0.3">
      <c r="A2" s="1" t="s">
        <v>2</v>
      </c>
      <c r="B2" s="7">
        <v>10</v>
      </c>
      <c r="C2" s="2" t="s">
        <v>3</v>
      </c>
      <c r="D2" s="7">
        <v>10</v>
      </c>
      <c r="E2" s="2" t="s">
        <v>3</v>
      </c>
    </row>
    <row r="3" spans="1:5" x14ac:dyDescent="0.3">
      <c r="A3" s="11" t="s">
        <v>170</v>
      </c>
      <c r="B3" s="8">
        <v>0.35</v>
      </c>
      <c r="C3" s="3" t="s">
        <v>0</v>
      </c>
      <c r="D3" s="8">
        <v>0.35</v>
      </c>
      <c r="E3" s="3" t="s">
        <v>0</v>
      </c>
    </row>
    <row r="4" spans="1:5" x14ac:dyDescent="0.3">
      <c r="A4" s="5"/>
      <c r="B4" s="8" t="s">
        <v>1</v>
      </c>
      <c r="C4" s="3" t="s">
        <v>169</v>
      </c>
      <c r="D4" s="8" t="s">
        <v>1</v>
      </c>
      <c r="E4" s="3" t="s">
        <v>169</v>
      </c>
    </row>
    <row r="5" spans="1:5" x14ac:dyDescent="0.3">
      <c r="B5" s="7">
        <v>1</v>
      </c>
      <c r="C5" s="2">
        <v>12.16</v>
      </c>
      <c r="D5" s="7">
        <v>1.5</v>
      </c>
      <c r="E5" s="2">
        <v>12.64</v>
      </c>
    </row>
    <row r="6" spans="1:5" x14ac:dyDescent="0.3">
      <c r="B6" s="8">
        <v>2</v>
      </c>
      <c r="C6" s="3">
        <v>13.52</v>
      </c>
      <c r="D6" s="8">
        <v>2</v>
      </c>
      <c r="E6" s="3">
        <v>11.52</v>
      </c>
    </row>
    <row r="7" spans="1:5" x14ac:dyDescent="0.3">
      <c r="B7" s="8">
        <v>3.5</v>
      </c>
      <c r="C7" s="3">
        <v>13.92</v>
      </c>
      <c r="D7" s="8">
        <v>2.5</v>
      </c>
      <c r="E7" s="3">
        <v>13.44</v>
      </c>
    </row>
    <row r="8" spans="1:5" x14ac:dyDescent="0.3">
      <c r="B8" s="8">
        <v>4</v>
      </c>
      <c r="C8" s="3">
        <v>13.76</v>
      </c>
      <c r="D8" s="8">
        <v>3</v>
      </c>
      <c r="E8" s="3">
        <v>11.52</v>
      </c>
    </row>
    <row r="9" spans="1:5" x14ac:dyDescent="0.3">
      <c r="B9" s="8">
        <v>5.5</v>
      </c>
      <c r="C9" s="3">
        <v>12.4</v>
      </c>
      <c r="D9" s="8">
        <v>6</v>
      </c>
      <c r="E9" s="3">
        <v>10.16</v>
      </c>
    </row>
    <row r="10" spans="1:5" x14ac:dyDescent="0.3">
      <c r="B10" s="8">
        <v>6</v>
      </c>
      <c r="C10" s="3">
        <v>15.2</v>
      </c>
      <c r="D10" s="8">
        <v>6.5</v>
      </c>
      <c r="E10" s="3">
        <v>8.48</v>
      </c>
    </row>
    <row r="11" spans="1:5" x14ac:dyDescent="0.3">
      <c r="B11" s="8">
        <v>10</v>
      </c>
      <c r="C11" s="3">
        <v>13.36</v>
      </c>
      <c r="D11" s="8">
        <v>10</v>
      </c>
      <c r="E11" s="3">
        <v>7.7519999999999998</v>
      </c>
    </row>
    <row r="12" spans="1:5" x14ac:dyDescent="0.3">
      <c r="B12" s="8">
        <v>11</v>
      </c>
      <c r="C12" s="3">
        <v>13.92</v>
      </c>
      <c r="D12" s="8">
        <v>11</v>
      </c>
      <c r="E12" s="3">
        <v>7.032</v>
      </c>
    </row>
    <row r="13" spans="1:5" x14ac:dyDescent="0.3">
      <c r="B13" s="8">
        <v>20</v>
      </c>
      <c r="C13" s="3">
        <v>13.44</v>
      </c>
      <c r="D13" s="8">
        <v>19</v>
      </c>
      <c r="E13" s="3">
        <v>4.7679999999999998</v>
      </c>
    </row>
    <row r="14" spans="1:5" x14ac:dyDescent="0.3">
      <c r="B14" s="8">
        <v>21</v>
      </c>
      <c r="C14" s="3">
        <v>13.12</v>
      </c>
      <c r="D14" s="8">
        <v>21</v>
      </c>
      <c r="E14" s="3">
        <v>2.8719999999999999</v>
      </c>
    </row>
    <row r="15" spans="1:5" x14ac:dyDescent="0.3">
      <c r="B15" s="8">
        <v>30</v>
      </c>
      <c r="C15" s="3">
        <v>10.08</v>
      </c>
      <c r="D15" s="8">
        <v>30</v>
      </c>
      <c r="E15" s="3">
        <v>1.1200000000000001</v>
      </c>
    </row>
    <row r="16" spans="1:5" x14ac:dyDescent="0.3">
      <c r="B16" s="8">
        <v>31</v>
      </c>
      <c r="C16" s="3">
        <v>12.48</v>
      </c>
      <c r="D16" s="8">
        <v>31</v>
      </c>
      <c r="E16" s="3">
        <v>0.35199999999999998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BEB43-2FAE-4485-957F-F179AC0A3E63}">
  <dimension ref="A1:ES3"/>
  <sheetViews>
    <sheetView workbookViewId="0">
      <selection activeCell="C9" sqref="C9"/>
    </sheetView>
  </sheetViews>
  <sheetFormatPr defaultRowHeight="14.4" x14ac:dyDescent="0.3"/>
  <sheetData>
    <row r="1" spans="1:149" ht="15.6" customHeight="1" x14ac:dyDescent="0.3"/>
    <row r="2" spans="1:149" x14ac:dyDescent="0.3">
      <c r="A2" t="s">
        <v>167</v>
      </c>
      <c r="B2" t="s">
        <v>12</v>
      </c>
      <c r="C2" t="s">
        <v>13</v>
      </c>
      <c r="D2" t="s">
        <v>14</v>
      </c>
      <c r="E2" t="s">
        <v>15</v>
      </c>
      <c r="F2" t="s">
        <v>16</v>
      </c>
      <c r="G2" t="s">
        <v>17</v>
      </c>
      <c r="H2" t="s">
        <v>18</v>
      </c>
      <c r="I2" t="s">
        <v>19</v>
      </c>
      <c r="J2" t="s">
        <v>20</v>
      </c>
      <c r="K2" t="s">
        <v>21</v>
      </c>
      <c r="L2" t="s">
        <v>22</v>
      </c>
      <c r="M2" t="s">
        <v>23</v>
      </c>
      <c r="N2" t="s">
        <v>24</v>
      </c>
      <c r="O2" t="s">
        <v>25</v>
      </c>
      <c r="P2" t="s">
        <v>26</v>
      </c>
      <c r="Q2" t="s">
        <v>27</v>
      </c>
      <c r="R2" t="s">
        <v>28</v>
      </c>
      <c r="S2" t="s">
        <v>29</v>
      </c>
      <c r="T2" t="s">
        <v>30</v>
      </c>
      <c r="U2" t="s">
        <v>31</v>
      </c>
      <c r="V2" t="s">
        <v>32</v>
      </c>
      <c r="W2" t="s">
        <v>33</v>
      </c>
      <c r="X2" t="s">
        <v>34</v>
      </c>
      <c r="Y2" t="s">
        <v>35</v>
      </c>
      <c r="Z2" t="s">
        <v>36</v>
      </c>
      <c r="AA2" t="s">
        <v>37</v>
      </c>
      <c r="AB2" t="s">
        <v>38</v>
      </c>
      <c r="AC2" t="s">
        <v>39</v>
      </c>
      <c r="AD2" t="s">
        <v>40</v>
      </c>
      <c r="AE2" t="s">
        <v>41</v>
      </c>
      <c r="AF2" t="s">
        <v>42</v>
      </c>
      <c r="AG2" t="s">
        <v>43</v>
      </c>
      <c r="AH2" t="s">
        <v>44</v>
      </c>
      <c r="AI2" t="s">
        <v>45</v>
      </c>
      <c r="AJ2" t="s">
        <v>46</v>
      </c>
      <c r="AK2" t="s">
        <v>47</v>
      </c>
      <c r="AL2" t="s">
        <v>48</v>
      </c>
      <c r="AM2" t="s">
        <v>49</v>
      </c>
      <c r="AN2" t="s">
        <v>50</v>
      </c>
      <c r="AO2" t="s">
        <v>51</v>
      </c>
      <c r="AP2" t="s">
        <v>52</v>
      </c>
      <c r="AQ2" t="s">
        <v>53</v>
      </c>
      <c r="AR2" t="s">
        <v>54</v>
      </c>
      <c r="AS2" t="s">
        <v>55</v>
      </c>
      <c r="AT2" t="s">
        <v>56</v>
      </c>
      <c r="AU2" t="s">
        <v>57</v>
      </c>
      <c r="AV2" t="s">
        <v>58</v>
      </c>
      <c r="AW2" t="s">
        <v>59</v>
      </c>
      <c r="AX2" t="s">
        <v>60</v>
      </c>
      <c r="AY2" t="s">
        <v>61</v>
      </c>
      <c r="AZ2" t="s">
        <v>62</v>
      </c>
      <c r="BA2" t="s">
        <v>63</v>
      </c>
      <c r="BB2" t="s">
        <v>64</v>
      </c>
      <c r="BC2" t="s">
        <v>65</v>
      </c>
      <c r="BD2" t="s">
        <v>66</v>
      </c>
      <c r="BE2" t="s">
        <v>67</v>
      </c>
      <c r="BF2" t="s">
        <v>68</v>
      </c>
      <c r="BG2" t="s">
        <v>69</v>
      </c>
      <c r="BH2" t="s">
        <v>70</v>
      </c>
      <c r="BI2" t="s">
        <v>71</v>
      </c>
      <c r="BJ2" t="s">
        <v>72</v>
      </c>
      <c r="BK2" t="s">
        <v>73</v>
      </c>
      <c r="BL2" t="s">
        <v>74</v>
      </c>
      <c r="BM2" t="s">
        <v>75</v>
      </c>
      <c r="BN2" t="s">
        <v>76</v>
      </c>
      <c r="BO2" t="s">
        <v>77</v>
      </c>
      <c r="BP2" t="s">
        <v>78</v>
      </c>
      <c r="BQ2" t="s">
        <v>79</v>
      </c>
      <c r="BR2" t="s">
        <v>80</v>
      </c>
      <c r="BS2" t="s">
        <v>81</v>
      </c>
      <c r="BT2" t="s">
        <v>82</v>
      </c>
      <c r="BU2" t="s">
        <v>83</v>
      </c>
      <c r="BV2" t="s">
        <v>84</v>
      </c>
      <c r="BW2" t="s">
        <v>85</v>
      </c>
      <c r="BX2" t="s">
        <v>86</v>
      </c>
      <c r="BY2" t="s">
        <v>87</v>
      </c>
      <c r="BZ2" t="s">
        <v>88</v>
      </c>
      <c r="CA2" t="s">
        <v>89</v>
      </c>
      <c r="CB2" t="s">
        <v>90</v>
      </c>
      <c r="CC2" t="s">
        <v>91</v>
      </c>
      <c r="CD2" t="s">
        <v>92</v>
      </c>
      <c r="CE2" t="s">
        <v>93</v>
      </c>
      <c r="CF2" t="s">
        <v>94</v>
      </c>
      <c r="CG2" t="s">
        <v>95</v>
      </c>
      <c r="CH2" t="s">
        <v>96</v>
      </c>
      <c r="CI2" t="s">
        <v>97</v>
      </c>
      <c r="CJ2" t="s">
        <v>98</v>
      </c>
      <c r="CK2" t="s">
        <v>99</v>
      </c>
      <c r="CL2" t="s">
        <v>100</v>
      </c>
      <c r="CM2" t="s">
        <v>101</v>
      </c>
      <c r="CN2" t="s">
        <v>102</v>
      </c>
      <c r="CO2" t="s">
        <v>103</v>
      </c>
      <c r="CP2" t="s">
        <v>104</v>
      </c>
      <c r="CQ2" t="s">
        <v>105</v>
      </c>
      <c r="CR2" t="s">
        <v>106</v>
      </c>
      <c r="CS2" t="s">
        <v>107</v>
      </c>
      <c r="CT2" t="s">
        <v>108</v>
      </c>
      <c r="CU2" t="s">
        <v>109</v>
      </c>
      <c r="CV2" t="s">
        <v>110</v>
      </c>
      <c r="CW2" t="s">
        <v>111</v>
      </c>
      <c r="CX2" t="s">
        <v>112</v>
      </c>
      <c r="CY2" t="s">
        <v>113</v>
      </c>
      <c r="CZ2" t="s">
        <v>114</v>
      </c>
      <c r="DA2" t="s">
        <v>115</v>
      </c>
      <c r="DB2" t="s">
        <v>116</v>
      </c>
      <c r="DC2" t="s">
        <v>117</v>
      </c>
      <c r="DD2" t="s">
        <v>118</v>
      </c>
      <c r="DE2" t="s">
        <v>119</v>
      </c>
      <c r="DF2" t="s">
        <v>120</v>
      </c>
      <c r="DG2" t="s">
        <v>121</v>
      </c>
      <c r="DH2" t="s">
        <v>122</v>
      </c>
      <c r="DI2" t="s">
        <v>123</v>
      </c>
      <c r="DJ2" t="s">
        <v>124</v>
      </c>
      <c r="DK2" t="s">
        <v>125</v>
      </c>
      <c r="DL2" t="s">
        <v>126</v>
      </c>
      <c r="DM2" t="s">
        <v>127</v>
      </c>
      <c r="DN2" t="s">
        <v>128</v>
      </c>
      <c r="DO2" t="s">
        <v>129</v>
      </c>
      <c r="DP2" t="s">
        <v>130</v>
      </c>
      <c r="DQ2" t="s">
        <v>131</v>
      </c>
      <c r="DR2" t="s">
        <v>132</v>
      </c>
      <c r="DS2" t="s">
        <v>133</v>
      </c>
      <c r="DT2" t="s">
        <v>134</v>
      </c>
      <c r="DU2" t="s">
        <v>135</v>
      </c>
      <c r="DV2" t="s">
        <v>136</v>
      </c>
      <c r="DW2" t="s">
        <v>137</v>
      </c>
      <c r="DX2" t="s">
        <v>138</v>
      </c>
      <c r="DY2" t="s">
        <v>139</v>
      </c>
      <c r="DZ2" t="s">
        <v>140</v>
      </c>
      <c r="EA2" t="s">
        <v>141</v>
      </c>
      <c r="EB2" t="s">
        <v>142</v>
      </c>
      <c r="EC2" t="s">
        <v>143</v>
      </c>
      <c r="ED2" t="s">
        <v>144</v>
      </c>
      <c r="EE2" t="s">
        <v>145</v>
      </c>
      <c r="EF2" t="s">
        <v>146</v>
      </c>
      <c r="EG2" t="s">
        <v>147</v>
      </c>
      <c r="EH2" t="s">
        <v>148</v>
      </c>
      <c r="EI2" t="s">
        <v>149</v>
      </c>
      <c r="EJ2" t="s">
        <v>150</v>
      </c>
      <c r="EK2" t="s">
        <v>151</v>
      </c>
      <c r="EL2" t="s">
        <v>152</v>
      </c>
      <c r="EM2" t="s">
        <v>153</v>
      </c>
      <c r="EN2" t="s">
        <v>154</v>
      </c>
      <c r="EO2" t="s">
        <v>155</v>
      </c>
      <c r="EP2" t="s">
        <v>156</v>
      </c>
      <c r="EQ2" t="s">
        <v>157</v>
      </c>
      <c r="ER2" t="s">
        <v>158</v>
      </c>
      <c r="ES2" t="s">
        <v>159</v>
      </c>
    </row>
    <row r="3" spans="1:149" x14ac:dyDescent="0.3">
      <c r="A3" t="s">
        <v>168</v>
      </c>
      <c r="B3">
        <v>179050</v>
      </c>
      <c r="C3">
        <v>40590</v>
      </c>
      <c r="D3">
        <v>12080</v>
      </c>
      <c r="E3">
        <v>680</v>
      </c>
      <c r="F3">
        <v>5750</v>
      </c>
      <c r="G3">
        <v>7970</v>
      </c>
      <c r="H3">
        <v>1040</v>
      </c>
      <c r="I3">
        <v>120</v>
      </c>
      <c r="J3">
        <v>740</v>
      </c>
      <c r="K3">
        <v>0</v>
      </c>
      <c r="L3">
        <v>5910</v>
      </c>
      <c r="M3">
        <v>2150</v>
      </c>
      <c r="N3">
        <v>3110</v>
      </c>
      <c r="O3">
        <v>2170</v>
      </c>
      <c r="P3">
        <v>1930</v>
      </c>
      <c r="Q3">
        <v>1650</v>
      </c>
      <c r="R3">
        <v>1070</v>
      </c>
      <c r="S3">
        <v>0</v>
      </c>
      <c r="T3">
        <v>320</v>
      </c>
      <c r="U3">
        <v>0</v>
      </c>
      <c r="V3">
        <v>850</v>
      </c>
      <c r="W3">
        <v>20</v>
      </c>
      <c r="X3">
        <v>1050</v>
      </c>
      <c r="Y3">
        <v>360</v>
      </c>
      <c r="Z3">
        <v>0</v>
      </c>
      <c r="AA3">
        <v>1400</v>
      </c>
      <c r="AB3">
        <v>850</v>
      </c>
      <c r="AC3">
        <v>1400</v>
      </c>
      <c r="AD3">
        <v>310</v>
      </c>
      <c r="AE3">
        <v>1570</v>
      </c>
      <c r="AF3">
        <v>1070</v>
      </c>
      <c r="AG3">
        <v>160</v>
      </c>
      <c r="AH3">
        <v>310</v>
      </c>
      <c r="AI3">
        <v>530</v>
      </c>
      <c r="AJ3">
        <v>0</v>
      </c>
      <c r="AK3">
        <v>910</v>
      </c>
      <c r="AL3">
        <v>640</v>
      </c>
      <c r="AM3">
        <v>870</v>
      </c>
      <c r="AN3">
        <v>0</v>
      </c>
      <c r="AO3">
        <v>230</v>
      </c>
      <c r="AP3">
        <v>90</v>
      </c>
      <c r="AQ3">
        <v>850</v>
      </c>
      <c r="AR3">
        <v>50</v>
      </c>
      <c r="AS3">
        <v>1410</v>
      </c>
      <c r="AT3">
        <v>0</v>
      </c>
      <c r="AU3">
        <v>0</v>
      </c>
      <c r="AV3">
        <v>0</v>
      </c>
      <c r="AW3">
        <v>90</v>
      </c>
      <c r="AX3">
        <v>0</v>
      </c>
      <c r="AY3">
        <v>670</v>
      </c>
      <c r="AZ3">
        <v>170</v>
      </c>
      <c r="BA3">
        <v>0</v>
      </c>
      <c r="BB3">
        <v>0</v>
      </c>
      <c r="BC3">
        <v>0</v>
      </c>
      <c r="BD3">
        <v>0</v>
      </c>
      <c r="BE3">
        <v>0</v>
      </c>
      <c r="BF3">
        <v>40</v>
      </c>
      <c r="BG3">
        <v>540</v>
      </c>
      <c r="BH3">
        <v>0</v>
      </c>
      <c r="BI3">
        <v>0</v>
      </c>
      <c r="BJ3">
        <v>20</v>
      </c>
      <c r="BK3">
        <v>590</v>
      </c>
      <c r="BL3">
        <v>0</v>
      </c>
      <c r="BM3">
        <v>80</v>
      </c>
      <c r="BN3">
        <v>370</v>
      </c>
      <c r="BO3">
        <v>0</v>
      </c>
      <c r="BP3">
        <v>420</v>
      </c>
      <c r="BQ3">
        <v>0</v>
      </c>
      <c r="BR3">
        <v>350</v>
      </c>
      <c r="BS3">
        <v>50</v>
      </c>
      <c r="BT3">
        <v>310</v>
      </c>
      <c r="BU3">
        <v>0</v>
      </c>
      <c r="BV3">
        <v>640</v>
      </c>
      <c r="BW3">
        <v>0</v>
      </c>
      <c r="BX3">
        <v>0</v>
      </c>
      <c r="BY3">
        <v>240</v>
      </c>
      <c r="BZ3">
        <v>0</v>
      </c>
      <c r="CA3">
        <v>0</v>
      </c>
      <c r="CB3">
        <v>110</v>
      </c>
      <c r="CC3">
        <v>140</v>
      </c>
      <c r="CD3">
        <v>0</v>
      </c>
      <c r="CE3">
        <v>0</v>
      </c>
      <c r="CF3">
        <v>250</v>
      </c>
      <c r="CG3">
        <v>130</v>
      </c>
      <c r="CH3">
        <v>40</v>
      </c>
      <c r="CI3">
        <v>0</v>
      </c>
      <c r="CJ3">
        <v>120</v>
      </c>
      <c r="CK3">
        <v>110</v>
      </c>
      <c r="CL3">
        <v>240</v>
      </c>
      <c r="CM3">
        <v>0</v>
      </c>
      <c r="CN3">
        <v>0</v>
      </c>
      <c r="CO3">
        <v>30</v>
      </c>
      <c r="CP3">
        <v>0</v>
      </c>
      <c r="CQ3">
        <v>0</v>
      </c>
      <c r="CR3">
        <v>0</v>
      </c>
      <c r="CS3">
        <v>0</v>
      </c>
      <c r="CT3">
        <v>60</v>
      </c>
      <c r="CU3">
        <v>0</v>
      </c>
      <c r="CV3">
        <v>0</v>
      </c>
      <c r="CW3">
        <v>0</v>
      </c>
      <c r="CX3">
        <v>0</v>
      </c>
      <c r="CY3">
        <v>0</v>
      </c>
      <c r="CZ3">
        <v>0</v>
      </c>
      <c r="DA3">
        <v>0</v>
      </c>
      <c r="DB3">
        <v>50</v>
      </c>
      <c r="DC3">
        <v>0</v>
      </c>
      <c r="DD3">
        <v>0</v>
      </c>
      <c r="DE3">
        <v>0</v>
      </c>
      <c r="DF3">
        <v>0</v>
      </c>
      <c r="DG3">
        <v>20</v>
      </c>
      <c r="DH3">
        <v>0</v>
      </c>
      <c r="DI3">
        <v>110</v>
      </c>
      <c r="DJ3">
        <v>40</v>
      </c>
      <c r="DK3">
        <v>0</v>
      </c>
      <c r="DL3">
        <v>0</v>
      </c>
      <c r="DM3">
        <v>30</v>
      </c>
      <c r="DN3">
        <v>0</v>
      </c>
      <c r="DO3">
        <v>30</v>
      </c>
      <c r="DP3">
        <v>30</v>
      </c>
      <c r="DQ3">
        <v>60</v>
      </c>
      <c r="DR3">
        <v>0</v>
      </c>
      <c r="DS3">
        <v>0</v>
      </c>
      <c r="DT3">
        <v>0</v>
      </c>
      <c r="DU3">
        <v>20</v>
      </c>
      <c r="DV3">
        <v>0</v>
      </c>
      <c r="DW3">
        <v>0</v>
      </c>
      <c r="DX3">
        <v>0</v>
      </c>
      <c r="DY3">
        <v>0</v>
      </c>
      <c r="DZ3">
        <v>0</v>
      </c>
      <c r="EA3">
        <v>0</v>
      </c>
      <c r="EB3">
        <v>0</v>
      </c>
      <c r="EC3">
        <v>0</v>
      </c>
      <c r="ED3">
        <v>0</v>
      </c>
      <c r="EE3">
        <v>0</v>
      </c>
      <c r="EF3">
        <v>0</v>
      </c>
      <c r="EG3">
        <v>0</v>
      </c>
      <c r="EH3">
        <v>0</v>
      </c>
      <c r="EI3">
        <v>0</v>
      </c>
      <c r="EJ3" t="s">
        <v>160</v>
      </c>
      <c r="EK3" t="s">
        <v>161</v>
      </c>
      <c r="EL3" t="s">
        <v>162</v>
      </c>
      <c r="EM3" t="s">
        <v>163</v>
      </c>
      <c r="EN3" t="s">
        <v>164</v>
      </c>
      <c r="EO3" t="s">
        <v>165</v>
      </c>
      <c r="EP3" t="s">
        <v>166</v>
      </c>
      <c r="EQ3" t="s">
        <v>165</v>
      </c>
      <c r="ER3" t="s">
        <v>165</v>
      </c>
      <c r="ES3" t="s">
        <v>162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Figure 2,3,4 </vt:lpstr>
      <vt:lpstr>Appendix A</vt:lpstr>
      <vt:lpstr>Appendix C</vt:lpstr>
      <vt:lpstr>Appendix 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Linssen, Rikke</dc:creator>
  <cp:lastModifiedBy>Linssen, Rikke</cp:lastModifiedBy>
  <dcterms:created xsi:type="dcterms:W3CDTF">2015-06-05T18:17:20Z</dcterms:created>
  <dcterms:modified xsi:type="dcterms:W3CDTF">2023-06-15T08:20:21Z</dcterms:modified>
</cp:coreProperties>
</file>