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threadedComments/threadedComment1.xml" ContentType="application/vnd.ms-excel.threaded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8.xml" ContentType="application/vnd.openxmlformats-officedocument.spreadsheetml.comments+xml"/>
  <Override PartName="/xl/threadedComments/threadedComment2.xml" ContentType="application/vnd.ms-excel.threadedcomment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8_{AF9589F2-FCBC-4C8C-94EB-068DAFD56260}" xr6:coauthVersionLast="47" xr6:coauthVersionMax="47" xr10:uidLastSave="{00000000-0000-0000-0000-000000000000}"/>
  <bookViews>
    <workbookView xWindow="-110" yWindow="-110" windowWidth="19420" windowHeight="10420" firstSheet="22" activeTab="25" xr2:uid="{00000000-000D-0000-FFFF-FFFF00000000}"/>
  </bookViews>
  <sheets>
    <sheet name="Background information" sheetId="1" r:id="rId1"/>
    <sheet name="Hydrotreatment_trial" sheetId="9" r:id="rId2"/>
    <sheet name="Demand " sheetId="2" r:id="rId3"/>
    <sheet name="Feedstock_Data_field " sheetId="4" r:id="rId4"/>
    <sheet name="Process variables " sheetId="5" r:id="rId5"/>
    <sheet name="Mass balances " sheetId="6" r:id="rId6"/>
    <sheet name="Utilities demand" sheetId="10" r:id="rId7"/>
    <sheet name="Utilities demand (2)" sheetId="27" r:id="rId8"/>
    <sheet name="Energy balance " sheetId="17" r:id="rId9"/>
    <sheet name="yields " sheetId="13" r:id="rId10"/>
    <sheet name="Expenses variable " sheetId="12" r:id="rId11"/>
    <sheet name="expenses_full_HTL" sheetId="21" r:id="rId12"/>
    <sheet name="expenses_full_fuel_HTL_Up" sheetId="11" r:id="rId13"/>
    <sheet name="expenses_full_fuel_HTL_CoUp" sheetId="25" r:id="rId14"/>
    <sheet name="expenses_full_fuel_HTL_UP_frac" sheetId="24" r:id="rId15"/>
    <sheet name="expenses_full_fuel_HTL_CoUp_fra" sheetId="26" r:id="rId16"/>
    <sheet name="Refinery" sheetId="19" r:id="rId17"/>
    <sheet name="utilities " sheetId="7" state="hidden" r:id="rId18"/>
    <sheet name="CAPEX " sheetId="8" state="hidden" r:id="rId19"/>
    <sheet name="play" sheetId="22" r:id="rId20"/>
    <sheet name="Sources and links " sheetId="3" r:id="rId21"/>
    <sheet name="Sheet4" sheetId="18" r:id="rId22"/>
    <sheet name="MFSP for different CAPEX" sheetId="28" r:id="rId23"/>
    <sheet name="MFSP sesnitivity  analysis " sheetId="29" r:id="rId24"/>
    <sheet name="MFSP play " sheetId="31" r:id="rId25"/>
    <sheet name="Sheet3" sheetId="32" r:id="rId26"/>
  </sheets>
  <externalReferences>
    <externalReference r:id="rId27"/>
  </externalReferences>
  <definedNames>
    <definedName name="_xlchart.v1.0" hidden="1">'MFSP sesnitivity  analysis '!$J$18</definedName>
    <definedName name="_xlchart.v1.1" hidden="1">'MFSP sesnitivity  analysis '!$J$19</definedName>
    <definedName name="_xlchart.v1.10" hidden="1">'MFSP sesnitivity  analysis '!$K$22:$O$22</definedName>
    <definedName name="_xlchart.v1.2" hidden="1">'MFSP sesnitivity  analysis '!$J$20</definedName>
    <definedName name="_xlchart.v1.3" hidden="1">'MFSP sesnitivity  analysis '!$J$21</definedName>
    <definedName name="_xlchart.v1.4" hidden="1">'MFSP sesnitivity  analysis '!$J$22</definedName>
    <definedName name="_xlchart.v1.5" hidden="1">'MFSP sesnitivity  analysis '!$K$17:$O$17</definedName>
    <definedName name="_xlchart.v1.6" hidden="1">'MFSP sesnitivity  analysis '!$K$18:$O$18</definedName>
    <definedName name="_xlchart.v1.7" hidden="1">'MFSP sesnitivity  analysis '!$K$19:$O$19</definedName>
    <definedName name="_xlchart.v1.8" hidden="1">'MFSP sesnitivity  analysis '!$K$20:$O$20</definedName>
    <definedName name="_xlchart.v1.9" hidden="1">'MFSP sesnitivity  analysis '!$K$21:$O$21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29" l="1"/>
  <c r="C9" i="31"/>
  <c r="C12" i="31"/>
  <c r="E63" i="29"/>
  <c r="E15" i="29"/>
  <c r="C62" i="29"/>
  <c r="E14" i="29"/>
  <c r="E62" i="29" s="1"/>
  <c r="C47" i="21"/>
  <c r="C39" i="21"/>
  <c r="E40" i="21" s="1"/>
  <c r="F35" i="21"/>
  <c r="F36" i="21"/>
  <c r="C18" i="21"/>
  <c r="D195" i="6"/>
  <c r="D196" i="6"/>
  <c r="D194" i="6"/>
  <c r="C15" i="26" l="1"/>
  <c r="C2" i="26"/>
  <c r="C15" i="24"/>
  <c r="C2" i="24"/>
  <c r="C3" i="24"/>
  <c r="C2" i="25"/>
  <c r="C15" i="25"/>
  <c r="C15" i="11"/>
  <c r="C2" i="11"/>
  <c r="C15" i="21"/>
  <c r="C2" i="21"/>
  <c r="C39" i="26"/>
  <c r="C39" i="24"/>
  <c r="C39" i="25"/>
  <c r="C39" i="11"/>
  <c r="B14" i="28"/>
  <c r="B13" i="28"/>
  <c r="B12" i="28"/>
  <c r="N51" i="10"/>
  <c r="H36" i="17"/>
  <c r="D44" i="17" l="1"/>
  <c r="D28" i="17"/>
  <c r="D11" i="17"/>
  <c r="B9" i="10"/>
  <c r="F39" i="29"/>
  <c r="F40" i="29"/>
  <c r="F41" i="29"/>
  <c r="F42" i="29"/>
  <c r="F38" i="29"/>
  <c r="C39" i="29"/>
  <c r="C40" i="29"/>
  <c r="C41" i="29"/>
  <c r="C42" i="29"/>
  <c r="C38" i="29"/>
  <c r="D39" i="29"/>
  <c r="D40" i="29"/>
  <c r="D41" i="29"/>
  <c r="D42" i="29"/>
  <c r="D38" i="29"/>
  <c r="G39" i="29"/>
  <c r="G40" i="29"/>
  <c r="G41" i="29"/>
  <c r="G42" i="29"/>
  <c r="G38" i="29"/>
  <c r="E39" i="29"/>
  <c r="E40" i="29"/>
  <c r="E41" i="29"/>
  <c r="E42" i="29"/>
  <c r="E38" i="29"/>
  <c r="K27" i="31" l="1"/>
  <c r="K28" i="31"/>
  <c r="K29" i="31"/>
  <c r="K30" i="31"/>
  <c r="K31" i="31"/>
  <c r="K32" i="31"/>
  <c r="K33" i="31"/>
  <c r="K34" i="31"/>
  <c r="K26" i="31"/>
  <c r="J35" i="31"/>
  <c r="B53" i="31"/>
  <c r="B52" i="31"/>
  <c r="E52" i="31" s="1"/>
  <c r="B54" i="31" s="1"/>
  <c r="C42" i="31"/>
  <c r="C29" i="31"/>
  <c r="C30" i="31" s="1"/>
  <c r="C27" i="31"/>
  <c r="C26" i="31"/>
  <c r="C25" i="31"/>
  <c r="C24" i="31"/>
  <c r="C23" i="31"/>
  <c r="C22" i="31"/>
  <c r="C21" i="31"/>
  <c r="C20" i="31"/>
  <c r="C7" i="31"/>
  <c r="C6" i="31"/>
  <c r="E55" i="26"/>
  <c r="B55" i="26"/>
  <c r="B56" i="26" s="1"/>
  <c r="B57" i="24"/>
  <c r="B56" i="24"/>
  <c r="E55" i="24"/>
  <c r="B55" i="24"/>
  <c r="E52" i="25"/>
  <c r="B52" i="25"/>
  <c r="E52" i="11"/>
  <c r="B54" i="11" s="1"/>
  <c r="B53" i="11"/>
  <c r="B52" i="11"/>
  <c r="B57" i="21"/>
  <c r="B56" i="21"/>
  <c r="E57" i="21"/>
  <c r="B55" i="21"/>
  <c r="G22" i="29"/>
  <c r="F22" i="29"/>
  <c r="D22" i="29"/>
  <c r="C22" i="29"/>
  <c r="G21" i="29"/>
  <c r="F21" i="29"/>
  <c r="D21" i="29"/>
  <c r="C21" i="29"/>
  <c r="B55" i="11" l="1"/>
  <c r="C19" i="11" s="1"/>
  <c r="B55" i="31"/>
  <c r="C19" i="31" s="1"/>
  <c r="C28" i="31"/>
  <c r="C32" i="31" s="1"/>
  <c r="B57" i="26"/>
  <c r="B58" i="26" s="1"/>
  <c r="C19" i="26" s="1"/>
  <c r="B58" i="24"/>
  <c r="C19" i="24" s="1"/>
  <c r="B54" i="25"/>
  <c r="B53" i="25"/>
  <c r="B58" i="21"/>
  <c r="C19" i="21" s="1"/>
  <c r="F23" i="13"/>
  <c r="B32" i="27"/>
  <c r="C43" i="27" s="1"/>
  <c r="C44" i="27" s="1"/>
  <c r="C45" i="27" s="1"/>
  <c r="B87" i="27"/>
  <c r="B88" i="27" s="1"/>
  <c r="C60" i="27"/>
  <c r="R51" i="27"/>
  <c r="N51" i="27"/>
  <c r="P51" i="27" s="1"/>
  <c r="S46" i="27"/>
  <c r="P46" i="27"/>
  <c r="P45" i="27"/>
  <c r="P44" i="27"/>
  <c r="S44" i="27" s="1"/>
  <c r="P43" i="27"/>
  <c r="K43" i="27" s="1"/>
  <c r="P42" i="27"/>
  <c r="S42" i="27" s="1"/>
  <c r="S41" i="27"/>
  <c r="P41" i="27"/>
  <c r="S40" i="27"/>
  <c r="P40" i="27"/>
  <c r="S39" i="27"/>
  <c r="P39" i="27"/>
  <c r="S38" i="27"/>
  <c r="P38" i="27"/>
  <c r="P37" i="27"/>
  <c r="S37" i="27" s="1"/>
  <c r="S36" i="27"/>
  <c r="P36" i="27"/>
  <c r="P35" i="27"/>
  <c r="S35" i="27" s="1"/>
  <c r="S34" i="27"/>
  <c r="P34" i="27"/>
  <c r="P33" i="27"/>
  <c r="S33" i="27" s="1"/>
  <c r="P32" i="27"/>
  <c r="S32" i="27" s="1"/>
  <c r="P31" i="27"/>
  <c r="S31" i="27" s="1"/>
  <c r="S30" i="27"/>
  <c r="P30" i="27"/>
  <c r="P29" i="27"/>
  <c r="S28" i="27"/>
  <c r="P28" i="27"/>
  <c r="P27" i="27"/>
  <c r="S27" i="27" s="1"/>
  <c r="S26" i="27"/>
  <c r="P26" i="27"/>
  <c r="P25" i="27"/>
  <c r="S25" i="27" s="1"/>
  <c r="B25" i="27"/>
  <c r="P24" i="27"/>
  <c r="P23" i="27"/>
  <c r="S23" i="27" s="1"/>
  <c r="E23" i="27"/>
  <c r="E24" i="27" s="1"/>
  <c r="P22" i="27"/>
  <c r="K22" i="27" s="1"/>
  <c r="S21" i="27"/>
  <c r="P21" i="27"/>
  <c r="P20" i="27"/>
  <c r="S20" i="27" s="1"/>
  <c r="S19" i="27"/>
  <c r="P19" i="27"/>
  <c r="S18" i="27"/>
  <c r="P18" i="27"/>
  <c r="B18" i="27"/>
  <c r="B19" i="27" s="1"/>
  <c r="S17" i="27"/>
  <c r="P17" i="27"/>
  <c r="P16" i="27"/>
  <c r="S16" i="27" s="1"/>
  <c r="S15" i="27"/>
  <c r="P15" i="27"/>
  <c r="P14" i="27"/>
  <c r="S14" i="27" s="1"/>
  <c r="S13" i="27"/>
  <c r="P13" i="27"/>
  <c r="P12" i="27"/>
  <c r="S11" i="27"/>
  <c r="P11" i="27"/>
  <c r="P10" i="27"/>
  <c r="S10" i="27" s="1"/>
  <c r="B10" i="27"/>
  <c r="P9" i="27"/>
  <c r="S9" i="27" s="1"/>
  <c r="B9" i="27"/>
  <c r="P8" i="27"/>
  <c r="S8" i="27" s="1"/>
  <c r="S7" i="27"/>
  <c r="P7" i="27"/>
  <c r="P6" i="27"/>
  <c r="S6" i="27" s="1"/>
  <c r="S5" i="27"/>
  <c r="P5" i="27"/>
  <c r="P47" i="27" s="1"/>
  <c r="C15" i="13"/>
  <c r="C27" i="25" s="1"/>
  <c r="B200" i="6"/>
  <c r="C51" i="26"/>
  <c r="C50" i="26"/>
  <c r="C42" i="26"/>
  <c r="C29" i="26"/>
  <c r="C30" i="26" s="1"/>
  <c r="C28" i="26" s="1"/>
  <c r="C32" i="26" s="1"/>
  <c r="C26" i="26"/>
  <c r="C25" i="26"/>
  <c r="C24" i="26"/>
  <c r="C23" i="26"/>
  <c r="C22" i="26"/>
  <c r="C21" i="26"/>
  <c r="C20" i="26"/>
  <c r="C6" i="26"/>
  <c r="C42" i="25"/>
  <c r="C29" i="25"/>
  <c r="C30" i="25" s="1"/>
  <c r="C28" i="25" s="1"/>
  <c r="C32" i="25" s="1"/>
  <c r="C26" i="25"/>
  <c r="C25" i="25"/>
  <c r="C24" i="25"/>
  <c r="C23" i="25"/>
  <c r="C22" i="25"/>
  <c r="C21" i="25"/>
  <c r="C20" i="25"/>
  <c r="C6" i="25"/>
  <c r="C42" i="24"/>
  <c r="C51" i="24"/>
  <c r="K61" i="18"/>
  <c r="J61" i="18"/>
  <c r="M63" i="18"/>
  <c r="M64" i="18" s="1"/>
  <c r="C50" i="24"/>
  <c r="K60" i="18"/>
  <c r="C29" i="24"/>
  <c r="C26" i="24"/>
  <c r="C24" i="24"/>
  <c r="C23" i="24"/>
  <c r="C22" i="24"/>
  <c r="C21" i="24"/>
  <c r="C20" i="24"/>
  <c r="C7" i="24"/>
  <c r="C6" i="24"/>
  <c r="D188" i="6"/>
  <c r="D187" i="6"/>
  <c r="C188" i="6"/>
  <c r="C187" i="6"/>
  <c r="C82" i="12"/>
  <c r="E99" i="18"/>
  <c r="C81" i="12"/>
  <c r="B55" i="25" l="1"/>
  <c r="C19" i="25" s="1"/>
  <c r="K36" i="27"/>
  <c r="K26" i="27"/>
  <c r="K19" i="27"/>
  <c r="K17" i="27"/>
  <c r="K7" i="27"/>
  <c r="K13" i="27"/>
  <c r="K46" i="27"/>
  <c r="K40" i="27"/>
  <c r="K38" i="27"/>
  <c r="K28" i="27"/>
  <c r="K21" i="27"/>
  <c r="K11" i="27"/>
  <c r="K30" i="27"/>
  <c r="K18" i="27"/>
  <c r="K41" i="27"/>
  <c r="K39" i="27"/>
  <c r="K34" i="27"/>
  <c r="K15" i="27"/>
  <c r="K5" i="27"/>
  <c r="K24" i="27"/>
  <c r="K29" i="27"/>
  <c r="K45" i="27"/>
  <c r="K12" i="27"/>
  <c r="S51" i="27"/>
  <c r="K8" i="27"/>
  <c r="K10" i="27"/>
  <c r="S12" i="27"/>
  <c r="K20" i="27"/>
  <c r="S22" i="27"/>
  <c r="S24" i="27"/>
  <c r="K27" i="27"/>
  <c r="S29" i="27"/>
  <c r="K32" i="27"/>
  <c r="K37" i="27"/>
  <c r="S43" i="27"/>
  <c r="S45" i="27"/>
  <c r="K6" i="27"/>
  <c r="K16" i="27"/>
  <c r="K23" i="27"/>
  <c r="K25" i="27"/>
  <c r="K35" i="27"/>
  <c r="K42" i="27"/>
  <c r="K44" i="27"/>
  <c r="B33" i="27"/>
  <c r="C48" i="27" s="1"/>
  <c r="K9" i="27"/>
  <c r="K14" i="27"/>
  <c r="K31" i="27"/>
  <c r="K33" i="27"/>
  <c r="C27" i="26"/>
  <c r="C27" i="24"/>
  <c r="C30" i="24"/>
  <c r="C28" i="24" s="1"/>
  <c r="S47" i="27" l="1"/>
  <c r="C39" i="27" s="1"/>
  <c r="C40" i="27" s="1"/>
  <c r="C59" i="27"/>
  <c r="C50" i="27"/>
  <c r="C58" i="27"/>
  <c r="C57" i="27" s="1"/>
  <c r="C49" i="27"/>
  <c r="C32" i="24"/>
  <c r="C41" i="27" l="1"/>
  <c r="C47" i="27"/>
  <c r="C51" i="27" l="1"/>
  <c r="C54" i="27"/>
  <c r="C55" i="27" s="1"/>
  <c r="C75" i="12"/>
  <c r="E96" i="18"/>
  <c r="D90" i="18"/>
  <c r="C42" i="21" l="1"/>
  <c r="C21" i="22" l="1"/>
  <c r="C25" i="22"/>
  <c r="C42" i="22"/>
  <c r="C29" i="22"/>
  <c r="C27" i="22"/>
  <c r="C26" i="22"/>
  <c r="C24" i="22"/>
  <c r="C23" i="22"/>
  <c r="C22" i="22"/>
  <c r="C20" i="22"/>
  <c r="C6" i="22"/>
  <c r="B32" i="10"/>
  <c r="C25" i="21"/>
  <c r="C21" i="21"/>
  <c r="C7" i="21"/>
  <c r="C29" i="21"/>
  <c r="C27" i="21"/>
  <c r="C26" i="21"/>
  <c r="C24" i="21"/>
  <c r="C23" i="21"/>
  <c r="C22" i="21"/>
  <c r="C20" i="21"/>
  <c r="C6" i="21"/>
  <c r="C42" i="11"/>
  <c r="C29" i="11"/>
  <c r="C71" i="12"/>
  <c r="C6" i="11"/>
  <c r="C7" i="11"/>
  <c r="G139" i="6"/>
  <c r="C56" i="12"/>
  <c r="H68" i="12"/>
  <c r="J68" i="12" s="1"/>
  <c r="C68" i="12" s="1"/>
  <c r="C69" i="12" s="1"/>
  <c r="C25" i="24" l="1"/>
  <c r="C25" i="11"/>
  <c r="C19" i="22"/>
  <c r="C30" i="22"/>
  <c r="C28" i="22" s="1"/>
  <c r="C30" i="21"/>
  <c r="C28" i="21" s="1"/>
  <c r="C32" i="21" s="1"/>
  <c r="C45" i="12"/>
  <c r="C53" i="12"/>
  <c r="C51" i="12"/>
  <c r="C32" i="22" l="1"/>
  <c r="C27" i="11"/>
  <c r="C26" i="11"/>
  <c r="C23" i="11"/>
  <c r="C21" i="11"/>
  <c r="C20" i="11"/>
  <c r="B1" i="19"/>
  <c r="C5" i="19" s="1"/>
  <c r="C30" i="13"/>
  <c r="C43" i="13"/>
  <c r="R51" i="10"/>
  <c r="C10" i="13"/>
  <c r="J46" i="18"/>
  <c r="J45" i="18"/>
  <c r="J44" i="18"/>
  <c r="J43" i="18"/>
  <c r="J42" i="18"/>
  <c r="J31" i="18"/>
  <c r="J30" i="18"/>
  <c r="J32" i="18" s="1"/>
  <c r="J29" i="18"/>
  <c r="J28" i="18"/>
  <c r="J27" i="18"/>
  <c r="F26" i="18"/>
  <c r="N22" i="18"/>
  <c r="N21" i="18"/>
  <c r="N20" i="18"/>
  <c r="N19" i="18"/>
  <c r="B9" i="18"/>
  <c r="R19" i="18"/>
  <c r="R18" i="18"/>
  <c r="N18" i="18"/>
  <c r="N17" i="18"/>
  <c r="F17" i="18"/>
  <c r="N16" i="18"/>
  <c r="F16" i="18"/>
  <c r="N15" i="18"/>
  <c r="F15" i="18"/>
  <c r="N14" i="18"/>
  <c r="F14" i="18"/>
  <c r="B4" i="18"/>
  <c r="N13" i="18"/>
  <c r="N12" i="18"/>
  <c r="N11" i="18"/>
  <c r="J11" i="18"/>
  <c r="F11" i="18"/>
  <c r="N10" i="18"/>
  <c r="R9" i="18"/>
  <c r="F9" i="18"/>
  <c r="R8" i="18"/>
  <c r="F8" i="18"/>
  <c r="R7" i="18"/>
  <c r="F7" i="18"/>
  <c r="R6" i="18"/>
  <c r="F6" i="18"/>
  <c r="R5" i="18"/>
  <c r="R4" i="18"/>
  <c r="F4" i="18"/>
  <c r="C32" i="13"/>
  <c r="C31" i="13"/>
  <c r="C29" i="13"/>
  <c r="C28" i="13"/>
  <c r="C27" i="13"/>
  <c r="C24" i="13"/>
  <c r="C23" i="13"/>
  <c r="C22" i="13"/>
  <c r="D181" i="6"/>
  <c r="D179" i="6"/>
  <c r="D176" i="6"/>
  <c r="D175" i="6"/>
  <c r="E170" i="1"/>
  <c r="E171" i="1"/>
  <c r="N195" i="6"/>
  <c r="N194" i="6" s="1"/>
  <c r="N188" i="6"/>
  <c r="N142" i="6" s="1"/>
  <c r="D177" i="1"/>
  <c r="E169" i="1"/>
  <c r="E168" i="1"/>
  <c r="E167" i="1"/>
  <c r="E166" i="1"/>
  <c r="E165" i="1"/>
  <c r="C64" i="7"/>
  <c r="C9" i="13"/>
  <c r="C4" i="13"/>
  <c r="C2" i="13"/>
  <c r="D39" i="17"/>
  <c r="D36" i="17"/>
  <c r="D38" i="17"/>
  <c r="D37" i="17"/>
  <c r="D39" i="6"/>
  <c r="D29" i="6" s="1"/>
  <c r="D46" i="6" s="1"/>
  <c r="D49" i="6" s="1"/>
  <c r="D53" i="6" s="1"/>
  <c r="D23" i="6"/>
  <c r="D10" i="17"/>
  <c r="B33" i="10"/>
  <c r="B25" i="10"/>
  <c r="B18" i="10"/>
  <c r="B19" i="10" s="1"/>
  <c r="B87" i="10"/>
  <c r="B88" i="10" s="1"/>
  <c r="D140" i="6"/>
  <c r="D130" i="6"/>
  <c r="U85" i="1"/>
  <c r="U84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70" i="1"/>
  <c r="D123" i="6"/>
  <c r="D115" i="6"/>
  <c r="D120" i="6" s="1"/>
  <c r="D111" i="6"/>
  <c r="D9" i="17" s="1"/>
  <c r="D65" i="6"/>
  <c r="G17" i="1"/>
  <c r="C4" i="19" l="1"/>
  <c r="E30" i="1"/>
  <c r="E31" i="1"/>
  <c r="E32" i="1"/>
  <c r="E29" i="1"/>
  <c r="C53" i="17"/>
  <c r="C52" i="17"/>
  <c r="C51" i="17"/>
  <c r="C50" i="17"/>
  <c r="C49" i="17"/>
  <c r="C48" i="17"/>
  <c r="C47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6" i="17"/>
  <c r="C5" i="17"/>
  <c r="C4" i="17"/>
  <c r="C3" i="17"/>
  <c r="E34" i="1" l="1"/>
  <c r="D40" i="17"/>
  <c r="B37" i="1" l="1"/>
  <c r="B38" i="1"/>
  <c r="B36" i="1"/>
  <c r="B35" i="1"/>
  <c r="D3" i="8"/>
  <c r="C13" i="8"/>
  <c r="C17" i="8" s="1"/>
  <c r="C12" i="8"/>
  <c r="C10" i="8"/>
  <c r="D180" i="6" l="1"/>
  <c r="D178" i="6"/>
  <c r="D174" i="6"/>
  <c r="D164" i="6"/>
  <c r="D150" i="6"/>
  <c r="D153" i="6" s="1"/>
  <c r="D147" i="6"/>
  <c r="D136" i="6"/>
  <c r="D137" i="6"/>
  <c r="D122" i="6"/>
  <c r="D108" i="6"/>
  <c r="D61" i="6"/>
  <c r="N166" i="1"/>
  <c r="K159" i="1"/>
  <c r="K147" i="1"/>
  <c r="D55" i="6" l="1"/>
  <c r="C137" i="1"/>
  <c r="B140" i="1"/>
  <c r="C138" i="1" s="1"/>
  <c r="C136" i="1" l="1"/>
  <c r="C140" i="1" s="1"/>
  <c r="C139" i="1"/>
  <c r="C22" i="11"/>
  <c r="B76" i="12"/>
  <c r="B75" i="12"/>
  <c r="C24" i="11"/>
  <c r="C46" i="12"/>
  <c r="C48" i="12" s="1"/>
  <c r="P51" i="10"/>
  <c r="S51" i="10" s="1"/>
  <c r="C30" i="11"/>
  <c r="D135" i="6"/>
  <c r="C21" i="12"/>
  <c r="C34" i="12" s="1"/>
  <c r="C28" i="11" l="1"/>
  <c r="C32" i="11" s="1"/>
  <c r="P6" i="10"/>
  <c r="P7" i="10"/>
  <c r="S7" i="10" s="1"/>
  <c r="P8" i="10"/>
  <c r="S8" i="10" s="1"/>
  <c r="P9" i="10"/>
  <c r="S9" i="10" s="1"/>
  <c r="P10" i="10"/>
  <c r="S10" i="10" s="1"/>
  <c r="P11" i="10"/>
  <c r="S11" i="10" s="1"/>
  <c r="P12" i="10"/>
  <c r="S12" i="10" s="1"/>
  <c r="P13" i="10"/>
  <c r="S13" i="10" s="1"/>
  <c r="P14" i="10"/>
  <c r="P15" i="10"/>
  <c r="S15" i="10" s="1"/>
  <c r="P16" i="10"/>
  <c r="S16" i="10" s="1"/>
  <c r="P17" i="10"/>
  <c r="S17" i="10" s="1"/>
  <c r="P18" i="10"/>
  <c r="S18" i="10" s="1"/>
  <c r="P19" i="10"/>
  <c r="S19" i="10" s="1"/>
  <c r="P20" i="10"/>
  <c r="S20" i="10" s="1"/>
  <c r="P21" i="10"/>
  <c r="S21" i="10" s="1"/>
  <c r="P22" i="10"/>
  <c r="S22" i="10" s="1"/>
  <c r="P23" i="10"/>
  <c r="S23" i="10" s="1"/>
  <c r="P24" i="10"/>
  <c r="S24" i="10" s="1"/>
  <c r="P25" i="10"/>
  <c r="S25" i="10" s="1"/>
  <c r="P26" i="10"/>
  <c r="S26" i="10" s="1"/>
  <c r="P27" i="10"/>
  <c r="S27" i="10" s="1"/>
  <c r="P28" i="10"/>
  <c r="S28" i="10" s="1"/>
  <c r="P29" i="10"/>
  <c r="S29" i="10" s="1"/>
  <c r="P30" i="10"/>
  <c r="S30" i="10" s="1"/>
  <c r="P31" i="10"/>
  <c r="S31" i="10" s="1"/>
  <c r="P32" i="10"/>
  <c r="S32" i="10" s="1"/>
  <c r="P33" i="10"/>
  <c r="S33" i="10" s="1"/>
  <c r="P34" i="10"/>
  <c r="S34" i="10" s="1"/>
  <c r="P35" i="10"/>
  <c r="S35" i="10" s="1"/>
  <c r="P36" i="10"/>
  <c r="S36" i="10" s="1"/>
  <c r="P37" i="10"/>
  <c r="S37" i="10" s="1"/>
  <c r="P38" i="10"/>
  <c r="S38" i="10" s="1"/>
  <c r="P39" i="10"/>
  <c r="S39" i="10" s="1"/>
  <c r="P40" i="10"/>
  <c r="S40" i="10" s="1"/>
  <c r="P41" i="10"/>
  <c r="S41" i="10" s="1"/>
  <c r="P42" i="10"/>
  <c r="S42" i="10" s="1"/>
  <c r="P43" i="10"/>
  <c r="S43" i="10" s="1"/>
  <c r="P44" i="10"/>
  <c r="S44" i="10" s="1"/>
  <c r="P45" i="10"/>
  <c r="S45" i="10" s="1"/>
  <c r="P46" i="10"/>
  <c r="S46" i="10" s="1"/>
  <c r="P5" i="10"/>
  <c r="S5" i="10" s="1"/>
  <c r="E23" i="10"/>
  <c r="E24" i="10" s="1"/>
  <c r="C43" i="10" l="1"/>
  <c r="C44" i="10" s="1"/>
  <c r="C48" i="10"/>
  <c r="C58" i="10" s="1"/>
  <c r="P47" i="10"/>
  <c r="K25" i="10" s="1"/>
  <c r="S14" i="10"/>
  <c r="S6" i="10"/>
  <c r="S47" i="10" s="1"/>
  <c r="C39" i="10" s="1"/>
  <c r="N75" i="9"/>
  <c r="O75" i="9"/>
  <c r="AA81" i="9" s="1"/>
  <c r="M75" i="9"/>
  <c r="C37" i="9"/>
  <c r="D37" i="9"/>
  <c r="E37" i="9"/>
  <c r="W12" i="9" s="1"/>
  <c r="B37" i="9"/>
  <c r="W13" i="9" s="1"/>
  <c r="U43" i="9"/>
  <c r="AA43" i="9" s="1"/>
  <c r="U49" i="9"/>
  <c r="AA49" i="9" s="1"/>
  <c r="U50" i="9"/>
  <c r="AA50" i="9" s="1"/>
  <c r="U51" i="9"/>
  <c r="AA51" i="9" s="1"/>
  <c r="U57" i="9"/>
  <c r="AA57" i="9" s="1"/>
  <c r="U58" i="9"/>
  <c r="AA58" i="9" s="1"/>
  <c r="U59" i="9"/>
  <c r="AA59" i="9" s="1"/>
  <c r="U65" i="9"/>
  <c r="U66" i="9"/>
  <c r="AA66" i="9" s="1"/>
  <c r="U67" i="9"/>
  <c r="AA67" i="9" s="1"/>
  <c r="U73" i="9"/>
  <c r="U74" i="9"/>
  <c r="AA74" i="9" s="1"/>
  <c r="T43" i="9"/>
  <c r="Z43" i="9" s="1"/>
  <c r="T49" i="9"/>
  <c r="Z49" i="9" s="1"/>
  <c r="T50" i="9"/>
  <c r="Z50" i="9" s="1"/>
  <c r="T51" i="9"/>
  <c r="Z51" i="9" s="1"/>
  <c r="T57" i="9"/>
  <c r="Z57" i="9" s="1"/>
  <c r="T58" i="9"/>
  <c r="Z58" i="9" s="1"/>
  <c r="T59" i="9"/>
  <c r="Z59" i="9" s="1"/>
  <c r="T65" i="9"/>
  <c r="T66" i="9"/>
  <c r="Z66" i="9" s="1"/>
  <c r="T67" i="9"/>
  <c r="Z67" i="9" s="1"/>
  <c r="T73" i="9"/>
  <c r="Z73" i="9" s="1"/>
  <c r="T74" i="9"/>
  <c r="Z74" i="9" s="1"/>
  <c r="S43" i="9"/>
  <c r="S49" i="9"/>
  <c r="Y49" i="9" s="1"/>
  <c r="S50" i="9"/>
  <c r="Y50" i="9" s="1"/>
  <c r="S51" i="9"/>
  <c r="Y51" i="9" s="1"/>
  <c r="S57" i="9"/>
  <c r="Y57" i="9" s="1"/>
  <c r="S58" i="9"/>
  <c r="Y58" i="9" s="1"/>
  <c r="S59" i="9"/>
  <c r="Y59" i="9" s="1"/>
  <c r="S65" i="9"/>
  <c r="Y65" i="9" s="1"/>
  <c r="S66" i="9"/>
  <c r="Y66" i="9" s="1"/>
  <c r="S67" i="9"/>
  <c r="Y67" i="9" s="1"/>
  <c r="S73" i="9"/>
  <c r="Y73" i="9" s="1"/>
  <c r="S74" i="9"/>
  <c r="Y74" i="9" s="1"/>
  <c r="U42" i="9"/>
  <c r="R43" i="9"/>
  <c r="R44" i="9"/>
  <c r="U44" i="9" s="1"/>
  <c r="AA44" i="9" s="1"/>
  <c r="R45" i="9"/>
  <c r="U45" i="9" s="1"/>
  <c r="AA45" i="9" s="1"/>
  <c r="R46" i="9"/>
  <c r="U46" i="9" s="1"/>
  <c r="AA46" i="9" s="1"/>
  <c r="R47" i="9"/>
  <c r="U47" i="9" s="1"/>
  <c r="AA47" i="9" s="1"/>
  <c r="R48" i="9"/>
  <c r="U48" i="9" s="1"/>
  <c r="AA48" i="9" s="1"/>
  <c r="R49" i="9"/>
  <c r="R50" i="9"/>
  <c r="R51" i="9"/>
  <c r="R52" i="9"/>
  <c r="U52" i="9" s="1"/>
  <c r="AA52" i="9" s="1"/>
  <c r="R53" i="9"/>
  <c r="U53" i="9" s="1"/>
  <c r="AA53" i="9" s="1"/>
  <c r="R54" i="9"/>
  <c r="U54" i="9" s="1"/>
  <c r="AA54" i="9" s="1"/>
  <c r="R55" i="9"/>
  <c r="U55" i="9" s="1"/>
  <c r="AA55" i="9" s="1"/>
  <c r="R56" i="9"/>
  <c r="U56" i="9" s="1"/>
  <c r="AA56" i="9" s="1"/>
  <c r="R57" i="9"/>
  <c r="R58" i="9"/>
  <c r="R59" i="9"/>
  <c r="R60" i="9"/>
  <c r="U60" i="9" s="1"/>
  <c r="AA60" i="9" s="1"/>
  <c r="R61" i="9"/>
  <c r="U61" i="9" s="1"/>
  <c r="AA61" i="9" s="1"/>
  <c r="R62" i="9"/>
  <c r="U62" i="9" s="1"/>
  <c r="AA62" i="9" s="1"/>
  <c r="R63" i="9"/>
  <c r="U63" i="9" s="1"/>
  <c r="AA63" i="9" s="1"/>
  <c r="R64" i="9"/>
  <c r="T64" i="9" s="1"/>
  <c r="Z64" i="9" s="1"/>
  <c r="R65" i="9"/>
  <c r="R66" i="9"/>
  <c r="R67" i="9"/>
  <c r="R68" i="9"/>
  <c r="U68" i="9" s="1"/>
  <c r="AA68" i="9" s="1"/>
  <c r="R69" i="9"/>
  <c r="U69" i="9" s="1"/>
  <c r="AA69" i="9" s="1"/>
  <c r="R70" i="9"/>
  <c r="U70" i="9" s="1"/>
  <c r="AA70" i="9" s="1"/>
  <c r="R71" i="9"/>
  <c r="U71" i="9" s="1"/>
  <c r="AA71" i="9" s="1"/>
  <c r="R72" i="9"/>
  <c r="U72" i="9" s="1"/>
  <c r="AA72" i="9" s="1"/>
  <c r="R73" i="9"/>
  <c r="R74" i="9"/>
  <c r="R42" i="9"/>
  <c r="T42" i="9" s="1"/>
  <c r="Z42" i="9" s="1"/>
  <c r="J37" i="9"/>
  <c r="W39" i="9" s="1"/>
  <c r="R39" i="9"/>
  <c r="K39" i="9"/>
  <c r="N39" i="9" s="1"/>
  <c r="T39" i="9" s="1"/>
  <c r="N12" i="9"/>
  <c r="T12" i="9" s="1"/>
  <c r="N19" i="9"/>
  <c r="T19" i="9" s="1"/>
  <c r="M34" i="9"/>
  <c r="S34" i="9" s="1"/>
  <c r="M35" i="9"/>
  <c r="S35" i="9" s="1"/>
  <c r="M36" i="9"/>
  <c r="S36" i="9" s="1"/>
  <c r="L18" i="9"/>
  <c r="R18" i="9" s="1"/>
  <c r="L36" i="9"/>
  <c r="R36" i="9" s="1"/>
  <c r="AA65" i="9"/>
  <c r="AA73" i="9"/>
  <c r="Z65" i="9"/>
  <c r="B112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78" i="9"/>
  <c r="K5" i="9"/>
  <c r="L5" i="9" s="1"/>
  <c r="R5" i="9" s="1"/>
  <c r="K6" i="9"/>
  <c r="M6" i="9" s="1"/>
  <c r="S6" i="9" s="1"/>
  <c r="K7" i="9"/>
  <c r="N7" i="9" s="1"/>
  <c r="T7" i="9" s="1"/>
  <c r="K8" i="9"/>
  <c r="N8" i="9" s="1"/>
  <c r="T8" i="9" s="1"/>
  <c r="K9" i="9"/>
  <c r="N9" i="9" s="1"/>
  <c r="T9" i="9" s="1"/>
  <c r="K10" i="9"/>
  <c r="N10" i="9" s="1"/>
  <c r="T10" i="9" s="1"/>
  <c r="K11" i="9"/>
  <c r="L11" i="9" s="1"/>
  <c r="R11" i="9" s="1"/>
  <c r="K12" i="9"/>
  <c r="L12" i="9" s="1"/>
  <c r="R12" i="9" s="1"/>
  <c r="K13" i="9"/>
  <c r="L13" i="9" s="1"/>
  <c r="R13" i="9" s="1"/>
  <c r="K14" i="9"/>
  <c r="M14" i="9" s="1"/>
  <c r="S14" i="9" s="1"/>
  <c r="K15" i="9"/>
  <c r="N15" i="9" s="1"/>
  <c r="T15" i="9" s="1"/>
  <c r="K16" i="9"/>
  <c r="N16" i="9" s="1"/>
  <c r="T16" i="9" s="1"/>
  <c r="K17" i="9"/>
  <c r="N17" i="9" s="1"/>
  <c r="T17" i="9" s="1"/>
  <c r="K18" i="9"/>
  <c r="N18" i="9" s="1"/>
  <c r="T18" i="9" s="1"/>
  <c r="K19" i="9"/>
  <c r="M19" i="9" s="1"/>
  <c r="S19" i="9" s="1"/>
  <c r="K20" i="9"/>
  <c r="M20" i="9" s="1"/>
  <c r="S20" i="9" s="1"/>
  <c r="K21" i="9"/>
  <c r="L21" i="9" s="1"/>
  <c r="R21" i="9" s="1"/>
  <c r="K22" i="9"/>
  <c r="M22" i="9" s="1"/>
  <c r="S22" i="9" s="1"/>
  <c r="K23" i="9"/>
  <c r="N23" i="9" s="1"/>
  <c r="T23" i="9" s="1"/>
  <c r="K24" i="9"/>
  <c r="N24" i="9" s="1"/>
  <c r="T24" i="9" s="1"/>
  <c r="K25" i="9"/>
  <c r="N25" i="9" s="1"/>
  <c r="T25" i="9" s="1"/>
  <c r="K26" i="9"/>
  <c r="N26" i="9" s="1"/>
  <c r="T26" i="9" s="1"/>
  <c r="K27" i="9"/>
  <c r="L27" i="9" s="1"/>
  <c r="R27" i="9" s="1"/>
  <c r="K28" i="9"/>
  <c r="L28" i="9" s="1"/>
  <c r="R28" i="9" s="1"/>
  <c r="K29" i="9"/>
  <c r="L29" i="9" s="1"/>
  <c r="R29" i="9" s="1"/>
  <c r="K30" i="9"/>
  <c r="M30" i="9" s="1"/>
  <c r="S30" i="9" s="1"/>
  <c r="K31" i="9"/>
  <c r="N31" i="9" s="1"/>
  <c r="T31" i="9" s="1"/>
  <c r="K32" i="9"/>
  <c r="N32" i="9" s="1"/>
  <c r="T32" i="9" s="1"/>
  <c r="K33" i="9"/>
  <c r="N33" i="9" s="1"/>
  <c r="T33" i="9" s="1"/>
  <c r="K34" i="9"/>
  <c r="N34" i="9" s="1"/>
  <c r="T34" i="9" s="1"/>
  <c r="K35" i="9"/>
  <c r="N35" i="9" s="1"/>
  <c r="T35" i="9" s="1"/>
  <c r="K36" i="9"/>
  <c r="N36" i="9" s="1"/>
  <c r="T36" i="9" s="1"/>
  <c r="K4" i="9"/>
  <c r="L4" i="9" s="1"/>
  <c r="R4" i="9" s="1"/>
  <c r="E111" i="9" l="1"/>
  <c r="C40" i="10"/>
  <c r="C41" i="10" s="1"/>
  <c r="C33" i="13" s="1"/>
  <c r="D30" i="17"/>
  <c r="C45" i="10"/>
  <c r="D32" i="17"/>
  <c r="C49" i="10"/>
  <c r="C50" i="10" s="1"/>
  <c r="C59" i="10"/>
  <c r="K21" i="10"/>
  <c r="K29" i="10"/>
  <c r="K10" i="10"/>
  <c r="K42" i="10"/>
  <c r="K38" i="10"/>
  <c r="K46" i="10"/>
  <c r="K26" i="10"/>
  <c r="K34" i="10"/>
  <c r="K7" i="10"/>
  <c r="K5" i="10"/>
  <c r="K14" i="10"/>
  <c r="S64" i="9"/>
  <c r="Y64" i="9" s="1"/>
  <c r="S48" i="9"/>
  <c r="Y48" i="9" s="1"/>
  <c r="T56" i="9"/>
  <c r="Z56" i="9" s="1"/>
  <c r="U64" i="9"/>
  <c r="AA64" i="9" s="1"/>
  <c r="K20" i="10"/>
  <c r="K9" i="10"/>
  <c r="L35" i="9"/>
  <c r="R35" i="9" s="1"/>
  <c r="M18" i="9"/>
  <c r="S18" i="9" s="1"/>
  <c r="S71" i="9"/>
  <c r="Y71" i="9" s="1"/>
  <c r="S63" i="9"/>
  <c r="Y63" i="9" s="1"/>
  <c r="S55" i="9"/>
  <c r="Y55" i="9" s="1"/>
  <c r="S47" i="9"/>
  <c r="Y47" i="9" s="1"/>
  <c r="T71" i="9"/>
  <c r="Z71" i="9" s="1"/>
  <c r="T63" i="9"/>
  <c r="Z63" i="9" s="1"/>
  <c r="T55" i="9"/>
  <c r="Z55" i="9" s="1"/>
  <c r="T47" i="9"/>
  <c r="Z47" i="9" s="1"/>
  <c r="Z75" i="9" s="1"/>
  <c r="K28" i="10"/>
  <c r="K24" i="10"/>
  <c r="K17" i="10"/>
  <c r="K12" i="10"/>
  <c r="K8" i="10"/>
  <c r="S56" i="9"/>
  <c r="Y56" i="9" s="1"/>
  <c r="T72" i="9"/>
  <c r="Z72" i="9" s="1"/>
  <c r="T48" i="9"/>
  <c r="Z48" i="9" s="1"/>
  <c r="K16" i="10"/>
  <c r="L34" i="9"/>
  <c r="R34" i="9" s="1"/>
  <c r="M12" i="9"/>
  <c r="S12" i="9" s="1"/>
  <c r="S70" i="9"/>
  <c r="Y70" i="9" s="1"/>
  <c r="S62" i="9"/>
  <c r="Y62" i="9" s="1"/>
  <c r="S54" i="9"/>
  <c r="Y54" i="9" s="1"/>
  <c r="S46" i="9"/>
  <c r="Y46" i="9" s="1"/>
  <c r="T70" i="9"/>
  <c r="Z70" i="9" s="1"/>
  <c r="T62" i="9"/>
  <c r="Z62" i="9" s="1"/>
  <c r="T54" i="9"/>
  <c r="Z54" i="9" s="1"/>
  <c r="T46" i="9"/>
  <c r="Z46" i="9" s="1"/>
  <c r="K36" i="10"/>
  <c r="K32" i="10"/>
  <c r="K15" i="10"/>
  <c r="K31" i="10"/>
  <c r="K39" i="10"/>
  <c r="K23" i="10"/>
  <c r="K43" i="10"/>
  <c r="K19" i="10"/>
  <c r="K35" i="10"/>
  <c r="K11" i="10"/>
  <c r="K27" i="10"/>
  <c r="S72" i="9"/>
  <c r="Y72" i="9" s="1"/>
  <c r="K45" i="10"/>
  <c r="L20" i="9"/>
  <c r="R20" i="9" s="1"/>
  <c r="M11" i="9"/>
  <c r="S11" i="9" s="1"/>
  <c r="S42" i="9"/>
  <c r="Y42" i="9" s="1"/>
  <c r="S69" i="9"/>
  <c r="Y69" i="9" s="1"/>
  <c r="S61" i="9"/>
  <c r="Y61" i="9" s="1"/>
  <c r="S53" i="9"/>
  <c r="Y53" i="9" s="1"/>
  <c r="S45" i="9"/>
  <c r="Y45" i="9" s="1"/>
  <c r="T69" i="9"/>
  <c r="Z69" i="9" s="1"/>
  <c r="T61" i="9"/>
  <c r="Z61" i="9" s="1"/>
  <c r="T53" i="9"/>
  <c r="Z53" i="9" s="1"/>
  <c r="T45" i="9"/>
  <c r="Z45" i="9" s="1"/>
  <c r="K44" i="10"/>
  <c r="K22" i="10"/>
  <c r="K40" i="10"/>
  <c r="K33" i="10"/>
  <c r="K37" i="10"/>
  <c r="L19" i="9"/>
  <c r="R19" i="9" s="1"/>
  <c r="N20" i="9"/>
  <c r="T20" i="9" s="1"/>
  <c r="S68" i="9"/>
  <c r="Y68" i="9" s="1"/>
  <c r="S60" i="9"/>
  <c r="Y60" i="9" s="1"/>
  <c r="S52" i="9"/>
  <c r="Y52" i="9" s="1"/>
  <c r="S44" i="9"/>
  <c r="Y44" i="9" s="1"/>
  <c r="T68" i="9"/>
  <c r="Z68" i="9" s="1"/>
  <c r="T60" i="9"/>
  <c r="Z60" i="9" s="1"/>
  <c r="T52" i="9"/>
  <c r="Z52" i="9" s="1"/>
  <c r="T44" i="9"/>
  <c r="Z44" i="9" s="1"/>
  <c r="K13" i="10"/>
  <c r="K30" i="10"/>
  <c r="K18" i="10"/>
  <c r="K41" i="10"/>
  <c r="K6" i="10"/>
  <c r="U75" i="9"/>
  <c r="L26" i="9"/>
  <c r="R26" i="9" s="1"/>
  <c r="L10" i="9"/>
  <c r="R10" i="9" s="1"/>
  <c r="N28" i="9"/>
  <c r="T28" i="9" s="1"/>
  <c r="Y43" i="9"/>
  <c r="AA42" i="9"/>
  <c r="AA75" i="9" s="1"/>
  <c r="L25" i="9"/>
  <c r="R25" i="9" s="1"/>
  <c r="L9" i="9"/>
  <c r="R9" i="9" s="1"/>
  <c r="N27" i="9"/>
  <c r="T27" i="9" s="1"/>
  <c r="L33" i="9"/>
  <c r="R33" i="9" s="1"/>
  <c r="L17" i="9"/>
  <c r="R17" i="9" s="1"/>
  <c r="M28" i="9"/>
  <c r="S28" i="9" s="1"/>
  <c r="M10" i="9"/>
  <c r="S10" i="9" s="1"/>
  <c r="N11" i="9"/>
  <c r="T11" i="9" s="1"/>
  <c r="M27" i="9"/>
  <c r="S27" i="9" s="1"/>
  <c r="M26" i="9"/>
  <c r="S26" i="9" s="1"/>
  <c r="M39" i="9"/>
  <c r="S39" i="9" s="1"/>
  <c r="M4" i="9"/>
  <c r="M29" i="9"/>
  <c r="S29" i="9" s="1"/>
  <c r="M21" i="9"/>
  <c r="S21" i="9" s="1"/>
  <c r="M13" i="9"/>
  <c r="S13" i="9" s="1"/>
  <c r="M5" i="9"/>
  <c r="S5" i="9" s="1"/>
  <c r="N30" i="9"/>
  <c r="T30" i="9" s="1"/>
  <c r="N22" i="9"/>
  <c r="T22" i="9" s="1"/>
  <c r="N14" i="9"/>
  <c r="T14" i="9" s="1"/>
  <c r="N6" i="9"/>
  <c r="T6" i="9" s="1"/>
  <c r="N4" i="9"/>
  <c r="N29" i="9"/>
  <c r="T29" i="9" s="1"/>
  <c r="N21" i="9"/>
  <c r="T21" i="9" s="1"/>
  <c r="N13" i="9"/>
  <c r="T13" i="9" s="1"/>
  <c r="N5" i="9"/>
  <c r="T5" i="9" s="1"/>
  <c r="L32" i="9"/>
  <c r="R32" i="9" s="1"/>
  <c r="L24" i="9"/>
  <c r="R24" i="9" s="1"/>
  <c r="L16" i="9"/>
  <c r="R16" i="9" s="1"/>
  <c r="L8" i="9"/>
  <c r="R8" i="9" s="1"/>
  <c r="M33" i="9"/>
  <c r="S33" i="9" s="1"/>
  <c r="M25" i="9"/>
  <c r="S25" i="9" s="1"/>
  <c r="M17" i="9"/>
  <c r="S17" i="9" s="1"/>
  <c r="M9" i="9"/>
  <c r="S9" i="9" s="1"/>
  <c r="L31" i="9"/>
  <c r="R31" i="9" s="1"/>
  <c r="L23" i="9"/>
  <c r="R23" i="9" s="1"/>
  <c r="L15" i="9"/>
  <c r="R15" i="9" s="1"/>
  <c r="L7" i="9"/>
  <c r="R7" i="9" s="1"/>
  <c r="M32" i="9"/>
  <c r="S32" i="9" s="1"/>
  <c r="M24" i="9"/>
  <c r="S24" i="9" s="1"/>
  <c r="M16" i="9"/>
  <c r="S16" i="9" s="1"/>
  <c r="M8" i="9"/>
  <c r="S8" i="9" s="1"/>
  <c r="L30" i="9"/>
  <c r="R30" i="9" s="1"/>
  <c r="L22" i="9"/>
  <c r="R22" i="9" s="1"/>
  <c r="L14" i="9"/>
  <c r="R14" i="9" s="1"/>
  <c r="L6" i="9"/>
  <c r="R6" i="9" s="1"/>
  <c r="M31" i="9"/>
  <c r="S31" i="9" s="1"/>
  <c r="M23" i="9"/>
  <c r="S23" i="9" s="1"/>
  <c r="M15" i="9"/>
  <c r="S15" i="9" s="1"/>
  <c r="M7" i="9"/>
  <c r="S7" i="9" s="1"/>
  <c r="E112" i="9"/>
  <c r="C116" i="9" s="1"/>
  <c r="C60" i="10"/>
  <c r="B33" i="8"/>
  <c r="I34" i="8"/>
  <c r="B32" i="8"/>
  <c r="B34" i="8" s="1"/>
  <c r="C8" i="31" l="1"/>
  <c r="C4" i="31" s="1"/>
  <c r="C8" i="26"/>
  <c r="C4" i="26" s="1"/>
  <c r="C8" i="25"/>
  <c r="C4" i="25" s="1"/>
  <c r="C8" i="24"/>
  <c r="C4" i="24" s="1"/>
  <c r="C8" i="11"/>
  <c r="C4" i="11"/>
  <c r="C8" i="21"/>
  <c r="C4" i="21" s="1"/>
  <c r="C8" i="22"/>
  <c r="C4" i="22" s="1"/>
  <c r="D31" i="17"/>
  <c r="C47" i="10"/>
  <c r="C51" i="10" s="1"/>
  <c r="C57" i="10"/>
  <c r="R37" i="9"/>
  <c r="Y75" i="9"/>
  <c r="Z76" i="9" s="1"/>
  <c r="S75" i="9"/>
  <c r="AA80" i="9" s="1"/>
  <c r="T75" i="9"/>
  <c r="L37" i="9"/>
  <c r="T4" i="9"/>
  <c r="T37" i="9" s="1"/>
  <c r="V33" i="9" s="1"/>
  <c r="N37" i="9"/>
  <c r="S4" i="9"/>
  <c r="M37" i="9"/>
  <c r="S37" i="9"/>
  <c r="D33" i="7"/>
  <c r="D11" i="7"/>
  <c r="D32" i="7"/>
  <c r="D25" i="7"/>
  <c r="D177" i="6"/>
  <c r="D171" i="6"/>
  <c r="D155" i="6"/>
  <c r="D110" i="6"/>
  <c r="D63" i="6"/>
  <c r="D7" i="6"/>
  <c r="D8" i="6"/>
  <c r="D22" i="6" s="1"/>
  <c r="C33" i="5"/>
  <c r="C11" i="24" l="1"/>
  <c r="C9" i="24"/>
  <c r="C12" i="24"/>
  <c r="C11" i="25"/>
  <c r="C12" i="25"/>
  <c r="C9" i="25"/>
  <c r="C3" i="25" s="1"/>
  <c r="C12" i="26"/>
  <c r="C11" i="26"/>
  <c r="C9" i="26"/>
  <c r="C3" i="26" s="1"/>
  <c r="C10" i="26" s="1"/>
  <c r="C3" i="31"/>
  <c r="C11" i="31"/>
  <c r="C11" i="22"/>
  <c r="C12" i="22"/>
  <c r="C9" i="22"/>
  <c r="C3" i="22" s="1"/>
  <c r="C10" i="22" s="1"/>
  <c r="C12" i="21"/>
  <c r="C9" i="21"/>
  <c r="C3" i="21" s="1"/>
  <c r="C11" i="21"/>
  <c r="C9" i="11"/>
  <c r="C3" i="11" s="1"/>
  <c r="C12" i="11"/>
  <c r="C11" i="11"/>
  <c r="C54" i="10"/>
  <c r="C55" i="10" s="1"/>
  <c r="D33" i="17" s="1"/>
  <c r="D5" i="17"/>
  <c r="D183" i="6"/>
  <c r="AA79" i="9"/>
  <c r="Y76" i="9"/>
  <c r="AA76" i="9"/>
  <c r="V25" i="9"/>
  <c r="V26" i="9"/>
  <c r="W18" i="9"/>
  <c r="W17" i="9"/>
  <c r="S38" i="9"/>
  <c r="T38" i="9"/>
  <c r="V31" i="9"/>
  <c r="W31" i="9" s="1"/>
  <c r="R38" i="9"/>
  <c r="D6" i="6"/>
  <c r="C10" i="25" l="1"/>
  <c r="C10" i="31"/>
  <c r="C2" i="31" s="1"/>
  <c r="C10" i="24"/>
  <c r="C2" i="22"/>
  <c r="C35" i="22" s="1"/>
  <c r="C10" i="11"/>
  <c r="C10" i="21"/>
  <c r="C14" i="8"/>
  <c r="C15" i="8" s="1"/>
  <c r="D34" i="17"/>
  <c r="D35" i="17" s="1"/>
  <c r="C8" i="13"/>
  <c r="D21" i="6"/>
  <c r="D3" i="17"/>
  <c r="D12" i="17" s="1"/>
  <c r="C19" i="13"/>
  <c r="C3" i="13"/>
  <c r="C16" i="13"/>
  <c r="D15" i="7"/>
  <c r="D14" i="7"/>
  <c r="D55" i="7" s="1"/>
  <c r="B10" i="10"/>
  <c r="D10" i="7"/>
  <c r="R32" i="4"/>
  <c r="C35" i="26" l="1"/>
  <c r="C31" i="26"/>
  <c r="C18" i="26" s="1"/>
  <c r="C33" i="26" s="1"/>
  <c r="C36" i="26"/>
  <c r="C14" i="26"/>
  <c r="C14" i="31"/>
  <c r="C31" i="31"/>
  <c r="C18" i="31" s="1"/>
  <c r="C33" i="31" s="1"/>
  <c r="C35" i="31"/>
  <c r="C36" i="31"/>
  <c r="C36" i="24"/>
  <c r="C31" i="24"/>
  <c r="C18" i="24" s="1"/>
  <c r="C33" i="24" s="1"/>
  <c r="C35" i="24"/>
  <c r="C14" i="24"/>
  <c r="C35" i="25"/>
  <c r="C14" i="25"/>
  <c r="C31" i="25"/>
  <c r="C18" i="25" s="1"/>
  <c r="C33" i="25" s="1"/>
  <c r="C36" i="25"/>
  <c r="D41" i="17"/>
  <c r="D8" i="17"/>
  <c r="C44" i="31"/>
  <c r="C41" i="31" s="1"/>
  <c r="C44" i="25"/>
  <c r="C41" i="25" s="1"/>
  <c r="C44" i="24"/>
  <c r="C41" i="24" s="1"/>
  <c r="C44" i="26"/>
  <c r="C41" i="26" s="1"/>
  <c r="C14" i="22"/>
  <c r="C36" i="22"/>
  <c r="C35" i="11"/>
  <c r="C36" i="11"/>
  <c r="C31" i="22"/>
  <c r="C18" i="22" s="1"/>
  <c r="C33" i="22" s="1"/>
  <c r="C14" i="11"/>
  <c r="C31" i="11"/>
  <c r="C18" i="11" s="1"/>
  <c r="C31" i="21"/>
  <c r="C33" i="21" s="1"/>
  <c r="C14" i="21"/>
  <c r="C36" i="21"/>
  <c r="C35" i="21"/>
  <c r="C44" i="22"/>
  <c r="C41" i="22" s="1"/>
  <c r="C44" i="21"/>
  <c r="C41" i="21" s="1"/>
  <c r="C44" i="11"/>
  <c r="C41" i="11" s="1"/>
  <c r="D2" i="17"/>
  <c r="D50" i="17" s="1"/>
  <c r="D25" i="17"/>
  <c r="D24" i="17"/>
  <c r="D23" i="17"/>
  <c r="D22" i="17"/>
  <c r="D24" i="6"/>
  <c r="D50" i="7"/>
  <c r="D51" i="7" s="1"/>
  <c r="D52" i="7" s="1"/>
  <c r="D13" i="17"/>
  <c r="D6" i="17" s="1"/>
  <c r="L36" i="2"/>
  <c r="D36" i="2"/>
  <c r="E36" i="2" s="1"/>
  <c r="L35" i="2"/>
  <c r="D35" i="2"/>
  <c r="E35" i="2" s="1"/>
  <c r="L34" i="2"/>
  <c r="D34" i="2"/>
  <c r="E34" i="2" s="1"/>
  <c r="L33" i="2"/>
  <c r="D33" i="2"/>
  <c r="E33" i="2" s="1"/>
  <c r="L32" i="2"/>
  <c r="D32" i="2"/>
  <c r="E32" i="2" s="1"/>
  <c r="L31" i="2"/>
  <c r="D31" i="2"/>
  <c r="E31" i="2" s="1"/>
  <c r="L30" i="2"/>
  <c r="D30" i="2"/>
  <c r="E30" i="2" s="1"/>
  <c r="L29" i="2"/>
  <c r="D29" i="2"/>
  <c r="E29" i="2" s="1"/>
  <c r="L28" i="2"/>
  <c r="D28" i="2"/>
  <c r="E28" i="2" s="1"/>
  <c r="L27" i="2"/>
  <c r="D27" i="2"/>
  <c r="E27" i="2" s="1"/>
  <c r="L26" i="2"/>
  <c r="D26" i="2"/>
  <c r="E26" i="2" s="1"/>
  <c r="L25" i="2"/>
  <c r="D25" i="2"/>
  <c r="E25" i="2" s="1"/>
  <c r="L24" i="2"/>
  <c r="D24" i="2"/>
  <c r="E24" i="2" s="1"/>
  <c r="L23" i="2"/>
  <c r="E23" i="2"/>
  <c r="D23" i="2"/>
  <c r="L22" i="2"/>
  <c r="D22" i="2"/>
  <c r="E22" i="2" s="1"/>
  <c r="L21" i="2"/>
  <c r="D21" i="2"/>
  <c r="E21" i="2" s="1"/>
  <c r="L20" i="2"/>
  <c r="D20" i="2"/>
  <c r="E20" i="2" s="1"/>
  <c r="L19" i="2"/>
  <c r="D19" i="2"/>
  <c r="E19" i="2" s="1"/>
  <c r="L18" i="2"/>
  <c r="D18" i="2"/>
  <c r="E18" i="2" s="1"/>
  <c r="L17" i="2"/>
  <c r="D17" i="2"/>
  <c r="E17" i="2" s="1"/>
  <c r="L16" i="2"/>
  <c r="D16" i="2"/>
  <c r="E16" i="2" s="1"/>
  <c r="L15" i="2"/>
  <c r="D15" i="2"/>
  <c r="E15" i="2" s="1"/>
  <c r="L14" i="2"/>
  <c r="D14" i="2"/>
  <c r="E14" i="2" s="1"/>
  <c r="L13" i="2"/>
  <c r="D13" i="2"/>
  <c r="E13" i="2" s="1"/>
  <c r="L12" i="2"/>
  <c r="D12" i="2"/>
  <c r="E12" i="2" s="1"/>
  <c r="L11" i="2"/>
  <c r="D11" i="2"/>
  <c r="E11" i="2" s="1"/>
  <c r="L10" i="2"/>
  <c r="D10" i="2"/>
  <c r="E10" i="2" s="1"/>
  <c r="L9" i="2"/>
  <c r="E9" i="2"/>
  <c r="D9" i="2"/>
  <c r="D48" i="17" l="1"/>
  <c r="D52" i="17"/>
  <c r="C38" i="26"/>
  <c r="C13" i="26"/>
  <c r="C16" i="26" s="1"/>
  <c r="C37" i="26" s="1"/>
  <c r="C34" i="26" s="1"/>
  <c r="C47" i="26" s="1"/>
  <c r="C48" i="26" s="1"/>
  <c r="C45" i="26"/>
  <c r="C13" i="24"/>
  <c r="C16" i="24" s="1"/>
  <c r="C37" i="24" s="1"/>
  <c r="C34" i="24" s="1"/>
  <c r="C38" i="24"/>
  <c r="C47" i="24" s="1"/>
  <c r="C48" i="24" s="1"/>
  <c r="D5" i="28" s="1"/>
  <c r="C45" i="24"/>
  <c r="C38" i="25"/>
  <c r="C13" i="25"/>
  <c r="C16" i="25" s="1"/>
  <c r="C37" i="25" s="1"/>
  <c r="C34" i="25" s="1"/>
  <c r="C47" i="25" s="1"/>
  <c r="C48" i="25" s="1"/>
  <c r="C45" i="25"/>
  <c r="C13" i="31"/>
  <c r="C15" i="31" s="1"/>
  <c r="C38" i="31"/>
  <c r="C45" i="31"/>
  <c r="C33" i="11"/>
  <c r="C38" i="22"/>
  <c r="C13" i="22"/>
  <c r="C15" i="22" s="1"/>
  <c r="C16" i="22" s="1"/>
  <c r="C37" i="22" s="1"/>
  <c r="C34" i="22" s="1"/>
  <c r="C45" i="22"/>
  <c r="C38" i="11"/>
  <c r="C13" i="11"/>
  <c r="C38" i="21"/>
  <c r="C13" i="21"/>
  <c r="C16" i="21" s="1"/>
  <c r="C45" i="11"/>
  <c r="C45" i="21"/>
  <c r="D49" i="17"/>
  <c r="D21" i="17"/>
  <c r="D19" i="17"/>
  <c r="D17" i="17"/>
  <c r="D18" i="17"/>
  <c r="D16" i="17"/>
  <c r="D42" i="17"/>
  <c r="C75" i="1"/>
  <c r="C76" i="1"/>
  <c r="D76" i="1" s="1"/>
  <c r="C77" i="1"/>
  <c r="C78" i="1"/>
  <c r="C79" i="1"/>
  <c r="C80" i="1"/>
  <c r="D80" i="1" s="1"/>
  <c r="C81" i="1"/>
  <c r="C82" i="1"/>
  <c r="D82" i="1" s="1"/>
  <c r="C83" i="1"/>
  <c r="D83" i="1" s="1"/>
  <c r="C84" i="1"/>
  <c r="D84" i="1" s="1"/>
  <c r="C85" i="1"/>
  <c r="C86" i="1"/>
  <c r="C87" i="1"/>
  <c r="C88" i="1"/>
  <c r="D88" i="1" s="1"/>
  <c r="C89" i="1"/>
  <c r="C90" i="1"/>
  <c r="D90" i="1" s="1"/>
  <c r="C91" i="1"/>
  <c r="D91" i="1" s="1"/>
  <c r="C92" i="1"/>
  <c r="D92" i="1" s="1"/>
  <c r="C93" i="1"/>
  <c r="C94" i="1"/>
  <c r="C95" i="1"/>
  <c r="C96" i="1"/>
  <c r="D96" i="1" s="1"/>
  <c r="C97" i="1"/>
  <c r="C98" i="1"/>
  <c r="D98" i="1" s="1"/>
  <c r="C99" i="1"/>
  <c r="D99" i="1" s="1"/>
  <c r="C100" i="1"/>
  <c r="D100" i="1" s="1"/>
  <c r="C101" i="1"/>
  <c r="C102" i="1"/>
  <c r="C103" i="1"/>
  <c r="C104" i="1"/>
  <c r="D104" i="1" s="1"/>
  <c r="C105" i="1"/>
  <c r="C106" i="1"/>
  <c r="C74" i="1"/>
  <c r="D74" i="1" s="1"/>
  <c r="D75" i="1"/>
  <c r="D77" i="1"/>
  <c r="D78" i="1"/>
  <c r="D79" i="1"/>
  <c r="D81" i="1"/>
  <c r="D85" i="1"/>
  <c r="D86" i="1"/>
  <c r="D87" i="1"/>
  <c r="D89" i="1"/>
  <c r="D93" i="1"/>
  <c r="D94" i="1"/>
  <c r="D95" i="1"/>
  <c r="D97" i="1"/>
  <c r="D101" i="1"/>
  <c r="D102" i="1"/>
  <c r="D103" i="1"/>
  <c r="D105" i="1"/>
  <c r="D106" i="1"/>
  <c r="J21" i="1"/>
  <c r="G9" i="1"/>
  <c r="G14" i="1"/>
  <c r="G15" i="1" s="1"/>
  <c r="M9" i="1"/>
  <c r="M10" i="1" s="1"/>
  <c r="J15" i="1" s="1"/>
  <c r="J11" i="1"/>
  <c r="C46" i="25" l="1"/>
  <c r="C46" i="24"/>
  <c r="K20" i="31"/>
  <c r="K18" i="31"/>
  <c r="C16" i="31"/>
  <c r="C37" i="31" s="1"/>
  <c r="C34" i="31" s="1"/>
  <c r="C39" i="31" s="1"/>
  <c r="K21" i="31"/>
  <c r="K17" i="31"/>
  <c r="K16" i="31"/>
  <c r="K19" i="31"/>
  <c r="K22" i="31"/>
  <c r="C46" i="26"/>
  <c r="C39" i="22"/>
  <c r="C16" i="11"/>
  <c r="C37" i="11" s="1"/>
  <c r="C34" i="11" s="1"/>
  <c r="K22" i="11"/>
  <c r="K21" i="11"/>
  <c r="K16" i="11"/>
  <c r="K17" i="11"/>
  <c r="K18" i="11"/>
  <c r="K19" i="11"/>
  <c r="K20" i="11"/>
  <c r="C47" i="22"/>
  <c r="C48" i="22" s="1"/>
  <c r="C46" i="22"/>
  <c r="C37" i="21"/>
  <c r="C34" i="21" s="1"/>
  <c r="D51" i="17"/>
  <c r="D15" i="17"/>
  <c r="G10" i="1"/>
  <c r="G11" i="1" s="1"/>
  <c r="G18" i="1" s="1"/>
  <c r="G13" i="1"/>
  <c r="G16" i="1" s="1"/>
  <c r="K23" i="31" l="1"/>
  <c r="C47" i="31"/>
  <c r="C48" i="31" s="1"/>
  <c r="C46" i="31"/>
  <c r="K23" i="11"/>
  <c r="C48" i="21"/>
  <c r="B5" i="28" s="1"/>
  <c r="C46" i="21"/>
  <c r="C47" i="11"/>
  <c r="C48" i="11" s="1"/>
  <c r="E13" i="29" s="1"/>
  <c r="C46" i="11"/>
  <c r="I25" i="1"/>
  <c r="C115" i="1"/>
  <c r="C109" i="1"/>
  <c r="C110" i="1"/>
  <c r="C111" i="1"/>
  <c r="C112" i="1"/>
  <c r="C113" i="1"/>
  <c r="C108" i="1"/>
  <c r="E12" i="29" l="1"/>
  <c r="E11" i="29"/>
  <c r="C5" i="28"/>
  <c r="E10" i="29"/>
  <c r="E9" i="29"/>
  <c r="E8" i="29"/>
  <c r="F22" i="1"/>
  <c r="F23" i="1" s="1"/>
  <c r="C118" i="1"/>
  <c r="L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E58" i="29" l="1"/>
  <c r="E49" i="29"/>
  <c r="E50" i="29"/>
  <c r="E59" i="29"/>
  <c r="E56" i="29"/>
  <c r="D47" i="29"/>
  <c r="F52" i="29"/>
  <c r="C56" i="29"/>
  <c r="D50" i="29"/>
  <c r="C49" i="29"/>
  <c r="G48" i="29"/>
  <c r="C50" i="29"/>
  <c r="G47" i="29"/>
  <c r="G58" i="29"/>
  <c r="G56" i="29"/>
  <c r="D48" i="29"/>
  <c r="G52" i="29"/>
  <c r="D49" i="29"/>
  <c r="G51" i="29"/>
  <c r="G50" i="29"/>
  <c r="C58" i="29"/>
  <c r="F50" i="29"/>
  <c r="G59" i="29"/>
  <c r="F51" i="29"/>
  <c r="G61" i="29"/>
  <c r="G57" i="29"/>
  <c r="C47" i="29"/>
  <c r="F47" i="29"/>
  <c r="F49" i="29"/>
  <c r="C60" i="29"/>
  <c r="C57" i="29"/>
  <c r="C48" i="29"/>
  <c r="D51" i="29"/>
  <c r="F48" i="29"/>
  <c r="G49" i="29"/>
  <c r="G60" i="29"/>
  <c r="E47" i="29"/>
  <c r="C59" i="29"/>
  <c r="C51" i="29"/>
  <c r="E51" i="29"/>
  <c r="E60" i="29"/>
  <c r="E61" i="29"/>
  <c r="E57" i="29"/>
  <c r="E48" i="29"/>
  <c r="E52" i="29"/>
  <c r="M69" i="1"/>
  <c r="D136" i="1"/>
  <c r="D137" i="1"/>
  <c r="D140" i="1" l="1"/>
  <c r="D53" i="17" l="1"/>
  <c r="D29" i="17"/>
  <c r="D47" i="17" s="1"/>
  <c r="D54" i="17" s="1"/>
  <c r="E29" i="17" l="1"/>
  <c r="C11" i="13" s="1"/>
  <c r="C12" i="13" l="1"/>
  <c r="C40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2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  <comment ref="J4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J5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J5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A85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94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O121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O126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O130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J145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J150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phenol is residual </t>
        </r>
      </text>
    </comment>
    <comment ref="J154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2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A5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A62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00000000-0006-0000-0400-000009000000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16" authorId="0" shapeId="0" xr:uid="{ECA1C035-9899-4F4D-9FE4-9214885D1C9F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B11</t>
        </r>
      </text>
    </comment>
    <comment ref="E16" authorId="0" shapeId="0" xr:uid="{3BBBC47A-E4D9-4B84-AE36-ED627AD45058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B5</t>
        </r>
      </text>
    </comment>
    <comment ref="F16" authorId="0" shapeId="0" xr:uid="{E3AD187E-23BA-4C1C-92B9-ED44EEC714B8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B38</t>
        </r>
      </text>
    </comment>
    <comment ref="R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0" shapeId="0" xr:uid="{6FC7FB93-5C90-438E-99C2-182D806DB1F1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B41</t>
        </r>
      </text>
    </comment>
    <comment ref="D17" authorId="0" shapeId="0" xr:uid="{F737448A-CEAC-476B-9E72-6A09A35134E8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B13</t>
        </r>
      </text>
    </comment>
    <comment ref="K20" authorId="0" shapeId="0" xr:uid="{00000000-0006-0000-07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0" shapeId="0" xr:uid="{00000000-0006-0000-07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0" shapeId="0" xr:uid="{00000000-0006-0000-07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R16" authorId="0" shapeId="0" xr:uid="{F1C6C172-3893-4F53-9997-C509111D852C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K20" authorId="0" shapeId="0" xr:uid="{11469136-9CE1-4406-AA32-D1A3004EAEA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0" shapeId="0" xr:uid="{3885C8D8-949E-4632-A05C-4072204111FE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0" shapeId="0" xr:uid="{95F71FA2-C12F-45D5-8C9F-DE392E5DEE1F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00000000-0006-0000-0900-000001000000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00000000-0006-0000-0900-000002000000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00000000-0006-0000-0900-000003000000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00000000-0006-0000-0900-000004000000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00000000-0006-0000-0900-000005000000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tc={48A99D3E-CBFE-44B4-96AF-62B2DA795D01}</author>
    <author>tc={820CC11D-255C-4681-A9BD-43A1188D923C}</author>
    <author>tc={55340DC8-56C0-471E-95C3-274D7820850C}</author>
    <author>tc={9B33A51B-AA54-49A4-875F-957A3EAF0CDE}</author>
    <author>tc={2EE73A2E-A8FF-425F-8610-EF76868D629B}</author>
    <author>tc={4886905A-11E2-4628-9A1F-DF79828F31CB}</author>
    <author>tc={A6042F57-FFDE-4F78-92B3-1121117BE842}</author>
    <author>tc={8B4504F1-13A6-413E-B73F-9E90B892BFCE}</author>
    <author>Author</author>
    <author>tc={A233DABA-767E-4A9B-8103-4DC949F5C0DD}</author>
    <author>tc={FCC161C6-8980-47C6-ABED-772DEC6BF8DE}</author>
    <author>tc={575C4FD5-E68A-4CD4-B523-05155493FEFC}</author>
    <author>tc={1CDF3F88-F8BF-4CE0-9F20-4936A0812DE0}</author>
    <author>tc={621C24B2-02B1-4373-B3D9-3FC1572B35A5}</author>
    <author>tc={00F8DD75-ADAA-4948-9C5C-B6C5DE37C33A}</author>
    <author>tc={6CA4DA24-1FB3-4CC0-9F0B-A4345F7B6FEB}</author>
    <author>tc={C2733A0D-797C-4A9A-9AC2-1A54DF775103}</author>
    <author>tc={8FBEAD1E-0C4C-4291-B688-C1E19348C1ED}</author>
    <author>tc={111C26F6-31CC-4C8D-A020-9BF95A500673}</author>
    <author>tc={7399C691-5C33-4CE8-9E01-5CC473B2946E}</author>
  </authors>
  <commentList>
    <comment ref="C3" authorId="0" shapeId="0" xr:uid="{48A99D3E-CBFE-44B4-96AF-62B2DA795D01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820CC11D-255C-4681-A9BD-43A1188D923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https://www.intratec.us/products/indexes-and-data/commodity-plant-location-factors#west-europe</t>
      </text>
    </comment>
    <comment ref="D9" authorId="2" shapeId="0" xr:uid="{55340DC8-56C0-471E-95C3-274D7820850C}">
      <text>
        <t>[Threaded comment]
Your version of Excel allows you to read this threaded comment; however, any edits to it will get removed if the file is opened in a newer version of Excel. Learn more: https://go.microsoft.com/fwlink/?linkid=870924
Comment:
    For South Africa  https://www.intratec.us/products/industry-economics-worldwide/plant-location-factor/south-africa-plant-location-factor</t>
      </text>
    </comment>
    <comment ref="E9" authorId="3" shapeId="0" xr:uid="{9B33A51B-AA54-49A4-875F-957A3EAF0CD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2EE73A2E-A8FF-425F-8610-EF76868D629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https://ycharts.com/indicators/spain_long_term_interest_rates#:~:text=Spain%20Long%20Term%20Interest%20Rate%20is%20at%203.57%25%2C%20compared%20to,or%20close%20to%2010%20years.</t>
      </text>
    </comment>
    <comment ref="C23" authorId="5" shapeId="0" xr:uid="{4886905A-11E2-4628-9A1F-DF79828F31C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https://tradingeconomics.com/spain/inflation-cpi</t>
      </text>
    </comment>
    <comment ref="C24" authorId="6" shapeId="0" xr:uid="{A6042F57-FFDE-4F78-92B3-1121117BE842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https://www.statista.com/statistics/664872/average-market-risk-premium-spain-europe/</t>
      </text>
    </comment>
    <comment ref="A26" authorId="7" shapeId="0" xr:uid="{8B4504F1-13A6-413E-B73F-9E90B892BFCE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00000000-0006-0000-0B00-000005000000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A28" authorId="8" shapeId="0" xr:uid="{00000000-0006-0000-0B00-000008000000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8" shapeId="0" xr:uid="{00000000-0006-0000-0B00-000009000000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8" shapeId="0" xr:uid="{00000000-0006-0000-0B00-00000A000000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9" shapeId="0" xr:uid="{A233DABA-767E-4A9B-8103-4DC949F5C0DD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0" shapeId="0" xr:uid="{FCC161C6-8980-47C6-ABED-772DEC6BF8DE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50" authorId="11" shapeId="0" xr:uid="{575C4FD5-E68A-4CD4-B523-05155493FEFC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A51" authorId="8" shapeId="0" xr:uid="{00000000-0006-0000-0B00-00001B000000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2" shapeId="0" xr:uid="{1CDF3F88-F8BF-4CE0-9F20-4936A0812DE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https://www.statista.com/statistics/1267552/spain-monthly-wholesale-electricity-price/</t>
      </text>
    </comment>
    <comment ref="G52" authorId="13" shapeId="0" xr:uid="{621C24B2-02B1-4373-B3D9-3FC1572B35A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00000000-0006-0000-0B00-00001E000000}">
      <text>
        <r>
          <rPr>
            <sz val="10"/>
            <color rgb="FF000000"/>
            <rFont val="Arial"/>
          </rPr>
          <t>for use in LCA economic allocation</t>
        </r>
      </text>
    </comment>
    <comment ref="A56" authorId="8" shapeId="0" xr:uid="{00000000-0006-0000-0B00-00001F000000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4" shapeId="0" xr:uid="{00F8DD75-ADAA-4948-9C5C-B6C5DE37C33A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H56" authorId="15" shapeId="0" xr:uid="{6CA4DA24-1FB3-4CC0-9F0B-A4345F7B6FE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https://www.xe.com/currencycharts/?from=EUR&amp;to=USD</t>
      </text>
    </comment>
    <comment ref="A59" authorId="8" shapeId="0" xr:uid="{00000000-0006-0000-0B00-000020000000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6" shapeId="0" xr:uid="{C2733A0D-797C-4A9A-9AC2-1A54DF775103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00000000-0006-0000-0B00-000023000000}">
      <text>
        <r>
          <rPr>
            <sz val="10"/>
            <color rgb="FF000000"/>
            <rFont val="Arial"/>
          </rPr>
          <t>Alves</t>
        </r>
      </text>
    </comment>
    <comment ref="A64" authorId="8" shapeId="0" xr:uid="{00000000-0006-0000-0B00-000025000000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8" shapeId="0" xr:uid="{00000000-0006-0000-0B00-000026000000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7" authorId="8" shapeId="0" xr:uid="{00000000-0006-0000-0B00-00002B000000}">
      <text>
        <r>
          <rPr>
            <sz val="10"/>
            <color rgb="FF000000"/>
            <rFont val="Arial"/>
          </rPr>
          <t>https://doi.org/10.3390/w11091854</t>
        </r>
      </text>
    </comment>
    <comment ref="C68" authorId="8" shapeId="0" xr:uid="{00000000-0006-0000-0B00-00002D000000}">
      <text>
        <r>
          <rPr>
            <sz val="10"/>
            <color rgb="FF000000"/>
            <rFont val="Arial"/>
          </rPr>
          <t>Da Silva. LHV: 40.7MJl
lg
Confirmed as reasonable by Index Mundi/other sources</t>
        </r>
      </text>
    </comment>
    <comment ref="F68" authorId="17" shapeId="0" xr:uid="{8FBEAD1E-0C4C-4291-B688-C1E19348C1ED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8" shapeId="0" xr:uid="{111C26F6-31CC-4C8D-A020-9BF95A500673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00000000-0006-0000-0B00-000035000000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8" shapeId="0" xr:uid="{00000000-0006-0000-0B00-000036000000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19" shapeId="0" xr:uid="{7399C691-5C33-4CE8-9E01-5CC473B2946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https://www.iea.org/data-and-statistics/data-tools/levelised-cost-of-electricity-calculator
And extrapolated with power rule in Denmark in excel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tc={69BFE536-91C5-421A-8962-2C2569B8B31D}</author>
    <author>tc={FC38D652-DA2C-42ED-BBB1-30729B06D7A1}</author>
  </authors>
  <commentList>
    <comment ref="I3" authorId="0" shapeId="0" xr:uid="{7E4D79F6-824C-4C2E-A029-278782293971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A6DB5587-72F7-4462-A492-1DA61C6B5519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52DB4AFD-B36D-4481-9C7A-9215D11620D0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BAAD2716-0C6D-409A-AFB5-5A8910867CCB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B30748E6-02E3-4CF4-9A1C-4890C14606F5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40F7EB9D-9DF6-46A0-B5FF-459244C8BED4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80F11516-17E8-40AB-8F0B-04DB8DC39CF6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3185D11B-1AD5-42C8-BA45-4E20009CAF81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5412A30B-621C-4659-B7D4-2C425A1824EB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69BFE536-91C5-421A-8962-2C2569B8B31D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A6ADC16F-6C78-4FF9-8FE2-8A0CDD52A857}">
      <text>
        <r>
          <rPr>
            <sz val="10"/>
            <color rgb="FF000000"/>
            <rFont val="Arial"/>
          </rPr>
          <t>Nabi</t>
        </r>
      </text>
    </comment>
    <comment ref="J14" authorId="0" shapeId="0" xr:uid="{AAA78539-F27E-4552-BA01-8562D9583E21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93A040E8-5423-4487-89E0-DF571B216749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CCD5F6B6-9116-4A6B-8EC9-758C868EDF15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DD092CBF-E74F-48B1-8388-649AE1AC3721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7E0F4CF3-5B7C-4C62-AF6C-38156C215233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674AF555-9E4A-4C5D-9959-96A9CA6B0F46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D0189083-914C-4F64-8530-9DCBF44CBDE2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B1B15EF8-5728-436B-815C-7E3E8B56CC07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AD889EB8-D96C-442C-808A-D34AFF3EDE0A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E33454B5-DF63-49E4-871A-EF33567EE853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FC38D652-DA2C-42ED-BBB1-30729B06D7A1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B045793F-0D13-40D0-9D92-18A8D8E75E72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I48" authorId="0" shapeId="0" xr:uid="{EC2C4869-8D25-4D9A-BD79-E612332B0522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J60" authorId="0" shapeId="0" xr:uid="{AD3C0773-DE60-40DC-BEF9-3643E9984C01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https://tradingeconomics.com/commodity/naphtha</t>
        </r>
      </text>
    </comment>
    <comment ref="M62" authorId="0" shapeId="0" xr:uid="{31F266D1-D4D4-4FE1-B2ED-C9C0E826DF8C}">
      <text>
        <r>
          <rPr>
            <b/>
            <sz val="9"/>
            <color indexed="81"/>
            <rFont val="Tahoma"/>
            <family val="2"/>
          </rPr>
          <t xml:space="preserve">https://task39.ieabioenergy.com/wp-content/uploads/sites/37/2024/05/IEA-Bioenergy-Task-39-SAF-report.pdf
</t>
        </r>
      </text>
    </comment>
  </commentList>
</comments>
</file>

<file path=xl/sharedStrings.xml><?xml version="1.0" encoding="utf-8"?>
<sst xmlns="http://schemas.openxmlformats.org/spreadsheetml/2006/main" count="3951" uniqueCount="1407">
  <si>
    <t xml:space="preserve">Olive pomace </t>
  </si>
  <si>
    <t xml:space="preserve">Ash </t>
  </si>
  <si>
    <t>Moisture (%)</t>
  </si>
  <si>
    <t>Volatile matter (%)</t>
  </si>
  <si>
    <t>FC(%)</t>
  </si>
  <si>
    <t>Ash (%)</t>
  </si>
  <si>
    <t xml:space="preserve">Luis </t>
  </si>
  <si>
    <t xml:space="preserve">Evcil </t>
  </si>
  <si>
    <t xml:space="preserve">Ultimate analysis </t>
  </si>
  <si>
    <t xml:space="preserve">proximate analysis </t>
  </si>
  <si>
    <t>C</t>
  </si>
  <si>
    <t>N</t>
  </si>
  <si>
    <t>H</t>
  </si>
  <si>
    <t>S</t>
  </si>
  <si>
    <t>O</t>
  </si>
  <si>
    <t>H/C</t>
  </si>
  <si>
    <t>O/C</t>
  </si>
  <si>
    <t>HHV (Mj/kg)</t>
  </si>
  <si>
    <t xml:space="preserve">unknown </t>
  </si>
  <si>
    <t xml:space="preserve">HTL </t>
  </si>
  <si>
    <t>Biomass slurry ratio</t>
  </si>
  <si>
    <t>*0,1781 (bsaed on experimental works)</t>
  </si>
  <si>
    <t>Product yield</t>
  </si>
  <si>
    <t>Biocrude</t>
  </si>
  <si>
    <t>biochar</t>
  </si>
  <si>
    <t xml:space="preserve">aqueous phase </t>
  </si>
  <si>
    <t xml:space="preserve">gas </t>
  </si>
  <si>
    <t>Temperature ©</t>
  </si>
  <si>
    <t>Time (min)</t>
  </si>
  <si>
    <t xml:space="preserve">catalyst </t>
  </si>
  <si>
    <t xml:space="preserve">Biocrude characteristics </t>
  </si>
  <si>
    <t>No</t>
  </si>
  <si>
    <t>R,T, (min,)</t>
  </si>
  <si>
    <t>Quality</t>
  </si>
  <si>
    <t>Name of compounds</t>
  </si>
  <si>
    <t>Molecular Formula</t>
  </si>
  <si>
    <t>Relative Area, %</t>
  </si>
  <si>
    <t>HTL</t>
  </si>
  <si>
    <t>Ketones</t>
  </si>
  <si>
    <t>Cyclopentanone</t>
  </si>
  <si>
    <t>C5H8O</t>
  </si>
  <si>
    <t>2-Cyclopenten-1-one</t>
  </si>
  <si>
    <t>C5H6O</t>
  </si>
  <si>
    <t>2-Methyl-2-cyclopenten-1-one</t>
  </si>
  <si>
    <t>C6H8O</t>
  </si>
  <si>
    <t>1-(2-Furanyl)ethanone</t>
  </si>
  <si>
    <t>C6H6O2</t>
  </si>
  <si>
    <t>γ-Butyrolactone</t>
  </si>
  <si>
    <t>C4H6O2</t>
  </si>
  <si>
    <t>2,5-Hexanedione</t>
  </si>
  <si>
    <t>C6H10O2</t>
  </si>
  <si>
    <t>3-Methyl-2-cyclopenten-1-one</t>
  </si>
  <si>
    <t>3,4-Dimethyl-2-cyclopenten-1-one</t>
  </si>
  <si>
    <t>C7H10O</t>
  </si>
  <si>
    <t>2,3-Dimethyl-2-cyclopenten-1-one</t>
  </si>
  <si>
    <t>3-Methyl-1,2-cyclopentanedione</t>
  </si>
  <si>
    <t>C6H8O2</t>
  </si>
  <si>
    <t>3,4-Dimethyl-2-hydroxycyclopent-2-en-1-one</t>
  </si>
  <si>
    <t>C7H10O2</t>
  </si>
  <si>
    <t>1-(4-Hydroxy-3-methoxyphenyl)ethanone</t>
  </si>
  <si>
    <t>C9H10O3</t>
  </si>
  <si>
    <t>1-(2,4,6-Trihydroxyphenyl)-2-pentanone</t>
  </si>
  <si>
    <t>C11H14O4</t>
  </si>
  <si>
    <t>Dihydro-5-tetradecyl-2(3H)furanone</t>
  </si>
  <si>
    <t>C18H34O2</t>
  </si>
  <si>
    <t>Phenol</t>
  </si>
  <si>
    <t>C6H6O</t>
  </si>
  <si>
    <t>3-Methylphenol</t>
  </si>
  <si>
    <t>C7H8O</t>
  </si>
  <si>
    <t>2-Methoxyphenol</t>
  </si>
  <si>
    <t>C7H8O2</t>
  </si>
  <si>
    <t>4-Ethylphenol</t>
  </si>
  <si>
    <t>C8H10O</t>
  </si>
  <si>
    <t>2-Methoxy-4-methylphenol</t>
  </si>
  <si>
    <t>C8H10O2</t>
  </si>
  <si>
    <t>1,2-Benzenediol</t>
  </si>
  <si>
    <t>3-Methoxy-1,2-benzenediol</t>
  </si>
  <si>
    <t>C7H8O3</t>
  </si>
  <si>
    <t>3-Methyl-1,2-benzenediol</t>
  </si>
  <si>
    <t>4-Ethyl-2-methoxyphenol</t>
  </si>
  <si>
    <t>C9H12O2</t>
  </si>
  <si>
    <t>4-Methyl-1,2-benzenediol</t>
  </si>
  <si>
    <t>2,6-Dimethoxyphenol</t>
  </si>
  <si>
    <t>C8H10O3</t>
  </si>
  <si>
    <t>2-Methoxy-3-(2-propenyl)phenol</t>
  </si>
  <si>
    <t>C10H12O2</t>
  </si>
  <si>
    <t>2-Methoxy-4-propylphenol</t>
  </si>
  <si>
    <t>C10H14O2</t>
  </si>
  <si>
    <t>n-Hexadecanoic acid</t>
  </si>
  <si>
    <t>C16H32O2</t>
  </si>
  <si>
    <t>(E)-9-Octadecenoic acid</t>
  </si>
  <si>
    <t>Hexadecanoic acid methyl ester</t>
  </si>
  <si>
    <t>C17H34O2</t>
  </si>
  <si>
    <t>8,11-Octadecadienoic acid methyl ester</t>
  </si>
  <si>
    <t>C19H34O2</t>
  </si>
  <si>
    <t>8-Octadecenoic acid methyl ester</t>
  </si>
  <si>
    <t>C19H36O2</t>
  </si>
  <si>
    <t>11-Octadecenoic acid methyl ester</t>
  </si>
  <si>
    <t xml:space="preserve">Hydrotreatment </t>
  </si>
  <si>
    <t>Hydrogen molecles needed</t>
  </si>
  <si>
    <t>Product</t>
  </si>
  <si>
    <t>water</t>
  </si>
  <si>
    <t>Decane</t>
  </si>
  <si>
    <t xml:space="preserve">Pentane </t>
  </si>
  <si>
    <t>dodecane</t>
  </si>
  <si>
    <t>butane</t>
  </si>
  <si>
    <t>hexane</t>
  </si>
  <si>
    <t>methyl cyclopentane</t>
  </si>
  <si>
    <t>di methyl cyclopentane</t>
  </si>
  <si>
    <t>octadecene</t>
  </si>
  <si>
    <t xml:space="preserve">2-propyl, methoxycyclohaxne </t>
  </si>
  <si>
    <t>hexadecane</t>
  </si>
  <si>
    <t>octadecane</t>
  </si>
  <si>
    <t xml:space="preserve">No catalyst </t>
  </si>
  <si>
    <t xml:space="preserve">Methane </t>
  </si>
  <si>
    <t xml:space="preserve">Biogas composition </t>
  </si>
  <si>
    <t>CO2</t>
  </si>
  <si>
    <t>H2</t>
  </si>
  <si>
    <t>CH4</t>
  </si>
  <si>
    <t>C2H6</t>
  </si>
  <si>
    <t>C3H8</t>
  </si>
  <si>
    <t>C4H10</t>
  </si>
  <si>
    <t xml:space="preserve">HTL output </t>
  </si>
  <si>
    <t xml:space="preserve">Biocrude </t>
  </si>
  <si>
    <t>Biogas</t>
  </si>
  <si>
    <t xml:space="preserve">Biochar </t>
  </si>
  <si>
    <t>Aqueous (Water)</t>
  </si>
  <si>
    <t>CYCL0 01</t>
  </si>
  <si>
    <t>CYCLO02</t>
  </si>
  <si>
    <t>CYCLO-01</t>
  </si>
  <si>
    <t>CYCLO-02</t>
  </si>
  <si>
    <t>2-MET-01</t>
  </si>
  <si>
    <t>2-ACE-01</t>
  </si>
  <si>
    <t>GAMMA-01</t>
  </si>
  <si>
    <t>2:5-H-01</t>
  </si>
  <si>
    <t>3-MET-01</t>
  </si>
  <si>
    <t>2:4-D-01</t>
  </si>
  <si>
    <t>2:4-D-02</t>
  </si>
  <si>
    <t>DIHYD-01</t>
  </si>
  <si>
    <t>5-MET-01</t>
  </si>
  <si>
    <t>ACETO-01</t>
  </si>
  <si>
    <t>C11H1-01</t>
  </si>
  <si>
    <t>OLEIC-01</t>
  </si>
  <si>
    <t>PHENO-01</t>
  </si>
  <si>
    <t>M-CRE-01</t>
  </si>
  <si>
    <t>GUAIACOL</t>
  </si>
  <si>
    <t>P-ETH-01</t>
  </si>
  <si>
    <t>4-MET-1</t>
  </si>
  <si>
    <t>1:2-B-01</t>
  </si>
  <si>
    <t>3-MET-02</t>
  </si>
  <si>
    <t>3-MET-03</t>
  </si>
  <si>
    <t>5-ETH-01</t>
  </si>
  <si>
    <t>4-MET-2</t>
  </si>
  <si>
    <t>SYRIN-01</t>
  </si>
  <si>
    <t>DUROQ-01</t>
  </si>
  <si>
    <t>4-PR-01</t>
  </si>
  <si>
    <t>N-HEX-01</t>
  </si>
  <si>
    <t>ELAID-01</t>
  </si>
  <si>
    <t>METHY-01</t>
  </si>
  <si>
    <t>C19H3-01</t>
  </si>
  <si>
    <t>METHY-02</t>
  </si>
  <si>
    <t>C19H3-02</t>
  </si>
  <si>
    <t xml:space="preserve">Biocarbon </t>
  </si>
  <si>
    <t xml:space="preserve">Check </t>
  </si>
  <si>
    <t xml:space="preserve">Upgrading </t>
  </si>
  <si>
    <t>drybiomass</t>
  </si>
  <si>
    <t>water in biomass</t>
  </si>
  <si>
    <t>pomace</t>
  </si>
  <si>
    <t>tons/hr</t>
  </si>
  <si>
    <t>g</t>
  </si>
  <si>
    <t xml:space="preserve">water </t>
  </si>
  <si>
    <t xml:space="preserve">slurry </t>
  </si>
  <si>
    <t>dry biomass</t>
  </si>
  <si>
    <t xml:space="preserve">water in biomass as moisture </t>
  </si>
  <si>
    <t xml:space="preserve">dry biomass </t>
  </si>
  <si>
    <t xml:space="preserve">total water in slurry </t>
  </si>
  <si>
    <t>ratio</t>
  </si>
  <si>
    <t xml:space="preserve">water as moisture </t>
  </si>
  <si>
    <t>pure water needed</t>
  </si>
  <si>
    <t>Experiment conditions</t>
  </si>
  <si>
    <t>CYCLOPEN</t>
  </si>
  <si>
    <t>3-MET-04</t>
  </si>
  <si>
    <t>1-PHE-01</t>
  </si>
  <si>
    <t>1:3-D-01</t>
  </si>
  <si>
    <t>4-ALL-01</t>
  </si>
  <si>
    <t>4-PRO-01</t>
  </si>
  <si>
    <t>OLEIC-02</t>
  </si>
  <si>
    <t>METHY-03</t>
  </si>
  <si>
    <t>METHY-04</t>
  </si>
  <si>
    <t>CARBO-02</t>
  </si>
  <si>
    <t>HYDROGEN</t>
  </si>
  <si>
    <t>METHANE</t>
  </si>
  <si>
    <t>ETHANE</t>
  </si>
  <si>
    <t>NPROPANE</t>
  </si>
  <si>
    <t>NBUTANE</t>
  </si>
  <si>
    <t>1-MET-01</t>
  </si>
  <si>
    <t>CIS-1-01</t>
  </si>
  <si>
    <t>1-OCT-01</t>
  </si>
  <si>
    <t>C10H2-01</t>
  </si>
  <si>
    <t>N-DOD-01</t>
  </si>
  <si>
    <t>N-HEX-02</t>
  </si>
  <si>
    <t>N-HEX-03</t>
  </si>
  <si>
    <t>N-HEX-04</t>
  </si>
  <si>
    <t>N-OCT-01</t>
  </si>
  <si>
    <t>N-OCT-02</t>
  </si>
  <si>
    <t>N-OCT-03</t>
  </si>
  <si>
    <t xml:space="preserve">hyydrogen </t>
  </si>
  <si>
    <t>pentane</t>
  </si>
  <si>
    <t>Butane</t>
  </si>
  <si>
    <t>product</t>
  </si>
  <si>
    <t>reactant</t>
  </si>
  <si>
    <t>methane</t>
  </si>
  <si>
    <t xml:space="preserve">International Maritime Bunker Fuel Oil Demand </t>
  </si>
  <si>
    <t>NRG_BAL</t>
  </si>
  <si>
    <t>International maritime bunkers</t>
  </si>
  <si>
    <t>Gross inland deliveries - observed</t>
  </si>
  <si>
    <t>total use (int bunkers + gross inland deliveries onserved)</t>
  </si>
  <si>
    <t>%age of int bunkers in total use</t>
  </si>
  <si>
    <t>Transformation input - electricity and heat generation - main activity producer electricity only - energy use</t>
  </si>
  <si>
    <t>Transformation input - electricity and heat generation - main activity producer combined heat and power - energy use</t>
  </si>
  <si>
    <t>Transformation input - electricity and heat generation - main activity producer heat only - energy use</t>
  </si>
  <si>
    <t>Transformation input - electricity and heat generation - autoproducer electricity only - energy use</t>
  </si>
  <si>
    <t>Transformation input - electricity and heat generation - autoproducer combined heat and power - energy use</t>
  </si>
  <si>
    <t>Transformation input - electricity and heat generation - autoproducer heat only - energy use</t>
  </si>
  <si>
    <t>sum electricity and/or heat generation</t>
  </si>
  <si>
    <t>Final consumption</t>
  </si>
  <si>
    <t>Final consumption - energy use</t>
  </si>
  <si>
    <t>Final consumption - industry sector - energy use</t>
  </si>
  <si>
    <t>Final consumption - transport sector - domestic navigation - energy use</t>
  </si>
  <si>
    <t>SIEC</t>
  </si>
  <si>
    <t>Fuel oil</t>
  </si>
  <si>
    <t>UNIT</t>
  </si>
  <si>
    <t>Thousand tonnes</t>
  </si>
  <si>
    <t>%</t>
  </si>
  <si>
    <t>2019</t>
  </si>
  <si>
    <t>EU-27</t>
  </si>
  <si>
    <t>Belgium</t>
  </si>
  <si>
    <t>Bulgaria</t>
  </si>
  <si>
    <t>Czechia</t>
  </si>
  <si>
    <t>Denmark</t>
  </si>
  <si>
    <t>Germany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</si>
  <si>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</si>
  <si>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</si>
  <si>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</si>
  <si>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</si>
  <si>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</si>
  <si>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</si>
  <si>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</si>
  <si>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</si>
  <si>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</si>
  <si>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</si>
  <si>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</si>
  <si>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</si>
  <si>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</si>
  <si>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</si>
  <si>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</si>
  <si>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</si>
  <si>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</si>
  <si>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</si>
  <si>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</si>
  <si>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</si>
  <si>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</si>
  <si>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</si>
  <si>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Fuel trend in Eu post 2020</t>
  </si>
  <si>
    <t>https://ec.europa.eu/eurostat/web/products-eurostat-news/-/ddn-20220407-1</t>
  </si>
  <si>
    <t xml:space="preserve">Fuel oil demand </t>
  </si>
  <si>
    <t xml:space="preserve">Worksheet from EU </t>
  </si>
  <si>
    <t xml:space="preserve">Olives </t>
  </si>
  <si>
    <t xml:space="preserve">Alperujo </t>
  </si>
  <si>
    <t>Overall mass balances (avg of 2015-2019)</t>
  </si>
  <si>
    <t xml:space="preserve">Olive stones </t>
  </si>
  <si>
    <t xml:space="preserve">Calorific value </t>
  </si>
  <si>
    <t>Kcal</t>
  </si>
  <si>
    <t xml:space="preserve">Avg. Production </t>
  </si>
  <si>
    <t>tons</t>
  </si>
  <si>
    <t>Autoconsumption</t>
  </si>
  <si>
    <t xml:space="preserve">tons </t>
  </si>
  <si>
    <t>Comercialization</t>
  </si>
  <si>
    <t xml:space="preserve">List of primary mills </t>
  </si>
  <si>
    <t>PROVINCIA</t>
  </si>
  <si>
    <t>MUNICIPIO</t>
  </si>
  <si>
    <t>NOMBRE_ALM</t>
  </si>
  <si>
    <t>Hojas (Ton)</t>
  </si>
  <si>
    <t>JAEN</t>
  </si>
  <si>
    <t>ESCAÑUELA</t>
  </si>
  <si>
    <t>AZAHAROLIVA, S.L.</t>
  </si>
  <si>
    <t>CARBONEROS</t>
  </si>
  <si>
    <t>COOPERATIVA SAN EULOGIO</t>
  </si>
  <si>
    <t>CAZALILLA</t>
  </si>
  <si>
    <t>S.C.A.SAN BLAS</t>
  </si>
  <si>
    <t>CAROLINA (LA)</t>
  </si>
  <si>
    <t>SCA OLIV. SAN ANTONIO</t>
  </si>
  <si>
    <t>GUARROMAN</t>
  </si>
  <si>
    <t>SATURNINO ARIAS RIVERO</t>
  </si>
  <si>
    <t>GENAVE</t>
  </si>
  <si>
    <t>SIERRA DE GENAVE,S.C.A.</t>
  </si>
  <si>
    <t>ALBANCHEZ DE MAGINA</t>
  </si>
  <si>
    <t>ALMAZARA EL PICON, S.L.</t>
  </si>
  <si>
    <t>ORCERA</t>
  </si>
  <si>
    <t>POTOSI 10, S.A.</t>
  </si>
  <si>
    <t>JAMILENA</t>
  </si>
  <si>
    <t>S.C.A- NTRA. SRA. DEL ROSARIO</t>
  </si>
  <si>
    <t>SILES</t>
  </si>
  <si>
    <t>S.C.A.SAN ISIDRO</t>
  </si>
  <si>
    <t>BELMEZ DE LA MORALEDA</t>
  </si>
  <si>
    <t>OLEO MAGINA SL</t>
  </si>
  <si>
    <t>SEGURA DE LA SIERRA</t>
  </si>
  <si>
    <t>S.C.A.NTRA.SRA.DEL PILAR</t>
  </si>
  <si>
    <t>LUPION</t>
  </si>
  <si>
    <t>S.L.GARCIA LA MONEDA</t>
  </si>
  <si>
    <t>ESPELUY</t>
  </si>
  <si>
    <t>ACEITES LAS ALMENAS, S.L.</t>
  </si>
  <si>
    <t>BAÑOS DE LA ENCINA</t>
  </si>
  <si>
    <t>S.C.A.NTRO PADRE JESUS DEL LLANO</t>
  </si>
  <si>
    <t>FRAILES</t>
  </si>
  <si>
    <t>JOSE Y RAFAEL SERRANO LOPEZ, C.B.</t>
  </si>
  <si>
    <t>CAMPILLO DE ARENAS</t>
  </si>
  <si>
    <t>SAT. SANTA LUCIA</t>
  </si>
  <si>
    <t>CARCHELES</t>
  </si>
  <si>
    <t>S.C.A.SAN ANTONIO ABAD</t>
  </si>
  <si>
    <t>TORRES DE ALBANCHEZ</t>
  </si>
  <si>
    <t>S.A.ACEITES EL CARRASCAL</t>
  </si>
  <si>
    <t>BEGIJAR</t>
  </si>
  <si>
    <t>S.L.OLEICOLA SAN FRANCISCO</t>
  </si>
  <si>
    <t>ARQUILLOS</t>
  </si>
  <si>
    <t>S.A.ACEITES EL CONDADO</t>
  </si>
  <si>
    <t>GUARDIA DE JAEN (LA)</t>
  </si>
  <si>
    <t>AIRLUX S.L.</t>
  </si>
  <si>
    <t>MENGIBAR</t>
  </si>
  <si>
    <t>INSTTTUTO ANDALUZ DE INVESTIGACIÓN Y FOR</t>
  </si>
  <si>
    <t>HUESA</t>
  </si>
  <si>
    <t>S.C.A.NTRA SRA DE LA CABEZA</t>
  </si>
  <si>
    <t>MARMOLEJO</t>
  </si>
  <si>
    <t>ACEITUNERA SANTA MARIA DE MARMOLEJO, S.L</t>
  </si>
  <si>
    <t>SORIHUELA DEL GUADALIMAR</t>
  </si>
  <si>
    <t>S.C.A.SANTA AGUEDA</t>
  </si>
  <si>
    <t>CHICLANA DE SEGURA</t>
  </si>
  <si>
    <t>S.C.A.SAN PABLO</t>
  </si>
  <si>
    <t>RUS</t>
  </si>
  <si>
    <t>S.C.A.NTRA.SRA.ROSARIO  Y SAN</t>
  </si>
  <si>
    <t>FUERTE DEL REY</t>
  </si>
  <si>
    <t>S.C.A.NTRA.SRA.DEL ROSARIO</t>
  </si>
  <si>
    <t>PUENTE DE GENAVE</t>
  </si>
  <si>
    <t>S.C.A.SAN JUAN BAUTISTA</t>
  </si>
  <si>
    <t>TORREBLASCOPEDRO</t>
  </si>
  <si>
    <t>S.C.A.NTRA.SRA.DEL CAMPILLO</t>
  </si>
  <si>
    <t>HIGUERA DE CALATRAVA</t>
  </si>
  <si>
    <t>ACEITES CAMARA Y LUQUE, S.L.</t>
  </si>
  <si>
    <t>IZNATORAF</t>
  </si>
  <si>
    <t>S.C.A.AGRARIA SAN ISIDRO</t>
  </si>
  <si>
    <t>SANTIAGO DE CALATRAVA</t>
  </si>
  <si>
    <t>S.C.A.SANTISUR</t>
  </si>
  <si>
    <t>PUERTA DE SEGURA (LA)</t>
  </si>
  <si>
    <t>MOLINO DE SEGURA</t>
  </si>
  <si>
    <t>CABRA DEL SANTO CRISTO</t>
  </si>
  <si>
    <t>S.C.A.LA UNION</t>
  </si>
  <si>
    <t>NOALEJO</t>
  </si>
  <si>
    <t>S,COOP.AND.HOYA DEL SALOBRAL</t>
  </si>
  <si>
    <t>LAHIGUERA</t>
  </si>
  <si>
    <t>S.C.A.SANTA CLARA</t>
  </si>
  <si>
    <t>CAMBIL</t>
  </si>
  <si>
    <t>JOSE JAVIER RUIZ MILLAN</t>
  </si>
  <si>
    <t>JIMENA</t>
  </si>
  <si>
    <t>HERMANOS TORRES GONZALEZ,C.B.</t>
  </si>
  <si>
    <t>VALDEPEÑAS DE JAEN</t>
  </si>
  <si>
    <t>OLEICOLA VALDEPEÑAS DE JAEN S.C.A.</t>
  </si>
  <si>
    <t>JABALQUINTO</t>
  </si>
  <si>
    <t>S.C.A.SANTA LUCIA</t>
  </si>
  <si>
    <t>CHILLUEVAR</t>
  </si>
  <si>
    <t>S.C.A. LA UNION DE CHILLUEVAR</t>
  </si>
  <si>
    <t>MONTIZON</t>
  </si>
  <si>
    <t>SAN JUAN BAUTISTA, S.C.A</t>
  </si>
  <si>
    <t>VILCHES</t>
  </si>
  <si>
    <t>S.L.ACEITES VILCHES</t>
  </si>
  <si>
    <t>SANTO TOME</t>
  </si>
  <si>
    <t>S.C.A.STO TOMAS APOSTOL</t>
  </si>
  <si>
    <t>LINARES</t>
  </si>
  <si>
    <t>HACIENDA OLIVAR DE SANTA MARIA, S. A.</t>
  </si>
  <si>
    <t>BEDMAR Y GARCIEZ</t>
  </si>
  <si>
    <t>OLEO VIANA,S.L.</t>
  </si>
  <si>
    <t>ANDUJAR</t>
  </si>
  <si>
    <t>S.C.A.SAN RAFAEL</t>
  </si>
  <si>
    <t>LOPERA</t>
  </si>
  <si>
    <t>S.C.A .DESARROLLO LOPERANO</t>
  </si>
  <si>
    <t>TORRES</t>
  </si>
  <si>
    <t>S.C.A.STA ISABEL</t>
  </si>
  <si>
    <t>CANENA</t>
  </si>
  <si>
    <t>S.C.A. SAN ISIDRO LABRADOR</t>
  </si>
  <si>
    <t>SANTISTEBAN DEL PUERTO</t>
  </si>
  <si>
    <t>OLIVARERA DEL CONDADO, S.A.</t>
  </si>
  <si>
    <t>ARJONILLA</t>
  </si>
  <si>
    <t>C.B.MIGUEL GUZMAN AVILES,HNOS</t>
  </si>
  <si>
    <t>POZO ALCON</t>
  </si>
  <si>
    <t>ALMAZARA LA ANDALUZA S.L.U.</t>
  </si>
  <si>
    <t>DEL AGUILA GOICOECHEA, ANTONIO</t>
  </si>
  <si>
    <t>FUENSANTA DE MARTOS</t>
  </si>
  <si>
    <t>GONZALEZ E HIJOS C.B.</t>
  </si>
  <si>
    <t>SABIOTE</t>
  </si>
  <si>
    <t>S.C.A.VIRGEN DE LA ASUNCION</t>
  </si>
  <si>
    <t>HUELMA</t>
  </si>
  <si>
    <t>THUELMA, S.L.</t>
  </si>
  <si>
    <t>VILLARES (LOS)</t>
  </si>
  <si>
    <t>ALMAZARA JIMENEZ S.L.</t>
  </si>
  <si>
    <t>CASTILLO DE LOCUBIN</t>
  </si>
  <si>
    <t>ACEITES SAN AGUSTIN,S.L.</t>
  </si>
  <si>
    <t>NAVAS DE SAN JUAN</t>
  </si>
  <si>
    <t>S.C.A FUENTE DEL ROSAL</t>
  </si>
  <si>
    <t>PEGALAJAR</t>
  </si>
  <si>
    <t>S.L. AGROPECUARIA EL PUERTO</t>
  </si>
  <si>
    <t>IBROS</t>
  </si>
  <si>
    <t>S.C.A.LA REMEDIADORA</t>
  </si>
  <si>
    <t>CASTELLAR</t>
  </si>
  <si>
    <t>ALMAZARA DEL OLIVAR S.L.</t>
  </si>
  <si>
    <t>TORREPEROGIL</t>
  </si>
  <si>
    <t>ACEITES ZARATE, S.A.</t>
  </si>
  <si>
    <t>QUESADA</t>
  </si>
  <si>
    <t>EXPLT. AGRO. TRAME S.L.</t>
  </si>
  <si>
    <t>JODAR</t>
  </si>
  <si>
    <t>BAILEN</t>
  </si>
  <si>
    <t>SL ALMAZARA  SAN PABLO</t>
  </si>
  <si>
    <t>VILLATORRES</t>
  </si>
  <si>
    <t>FRANCISCO RODRIGUEZ MARQUEZ</t>
  </si>
  <si>
    <t>VILLANUEVA DE LA REINA</t>
  </si>
  <si>
    <t>S.C.A. ACEITES VEGA ESPEJO</t>
  </si>
  <si>
    <t>BEAS DE SEGURA</t>
  </si>
  <si>
    <t>S.C.A.SAN ANTON</t>
  </si>
  <si>
    <t>CAZORLA</t>
  </si>
  <si>
    <t>LA ALMEDINA DE CAZORLA</t>
  </si>
  <si>
    <t>TORRE DEL CAMPO</t>
  </si>
  <si>
    <t>ACEITES MORAL,S.L.</t>
  </si>
  <si>
    <t>ARJONA</t>
  </si>
  <si>
    <t>Mª JOSE CONTRERAS GOMEZ DE LAS CORTINAS</t>
  </si>
  <si>
    <t>PEAL DE BECERRO</t>
  </si>
  <si>
    <t>S.L.ACEITES TOYA</t>
  </si>
  <si>
    <t>PORCUNA</t>
  </si>
  <si>
    <t>S.C.A.AGRARIA DE PORCUNA</t>
  </si>
  <si>
    <t>TORREDONJIMENO</t>
  </si>
  <si>
    <t>S.L. ALMAZARA ACAPULCO</t>
  </si>
  <si>
    <t>MARTOS</t>
  </si>
  <si>
    <t>PYDASA</t>
  </si>
  <si>
    <t>MANCHA REAL</t>
  </si>
  <si>
    <t>SAT NTRA SRA DE LA ESPERANZA</t>
  </si>
  <si>
    <t>S.C.A. UNIÓN OLEÍCOLA CAMBIL</t>
  </si>
  <si>
    <t>ALCAUDETE</t>
  </si>
  <si>
    <t>OLEICOLA SABARIEGO,S.L.</t>
  </si>
  <si>
    <t>VILLANUEVA DEL ARZOBISPO</t>
  </si>
  <si>
    <t>S.C.A.LA VERA CRUZ</t>
  </si>
  <si>
    <t>ALCALA LA REAL</t>
  </si>
  <si>
    <t>CUSTODIO SERRANO RAMOS</t>
  </si>
  <si>
    <t>UBEDA</t>
  </si>
  <si>
    <t>S.L. TRUJAL DE LA LOMA</t>
  </si>
  <si>
    <t>BAEZA</t>
  </si>
  <si>
    <t>S.L.FABRICA DE ACEITE VIRGEN DE LA SALUD</t>
  </si>
  <si>
    <t>VILLACARRILLO</t>
  </si>
  <si>
    <t>AREVALO DEL MORAL S.L.</t>
  </si>
  <si>
    <t xml:space="preserve">List of Secondary Mills </t>
  </si>
  <si>
    <t xml:space="preserve">Name </t>
  </si>
  <si>
    <t xml:space="preserve">Location </t>
  </si>
  <si>
    <t>Raft Capacity (tons)</t>
  </si>
  <si>
    <t>Aceites del sur - coosur SA</t>
  </si>
  <si>
    <t>Baeza</t>
  </si>
  <si>
    <t>Oleicola Jaen S.A.</t>
  </si>
  <si>
    <t>Bioland</t>
  </si>
  <si>
    <t>Carolina (LA)</t>
  </si>
  <si>
    <t>Oleocastellar S.A.</t>
  </si>
  <si>
    <t>Castellar</t>
  </si>
  <si>
    <t>Ecologia del olivar S.L.</t>
  </si>
  <si>
    <t>Jabalquinto</t>
  </si>
  <si>
    <t>Daniel espuny S.A.</t>
  </si>
  <si>
    <t>Linares</t>
  </si>
  <si>
    <t>Compania orujera de linares S.A.</t>
  </si>
  <si>
    <t>Oleicola tejar S.C.A.</t>
  </si>
  <si>
    <t xml:space="preserve">Mancha real </t>
  </si>
  <si>
    <t>Ecologia la marca S.A.</t>
  </si>
  <si>
    <t xml:space="preserve">Martos </t>
  </si>
  <si>
    <t>Aceites Aseal S.L.</t>
  </si>
  <si>
    <t xml:space="preserve">Navas de San Juan </t>
  </si>
  <si>
    <t>El Puente, Aceites y subproductos, S.L</t>
  </si>
  <si>
    <t>Puente de genave</t>
  </si>
  <si>
    <t>San Miguel Arcangel, S.A.</t>
  </si>
  <si>
    <t>Villanueva del arzobispo</t>
  </si>
  <si>
    <t xml:space="preserve">Total </t>
  </si>
  <si>
    <t>Exports/Commercialization</t>
  </si>
  <si>
    <t>Electricity</t>
  </si>
  <si>
    <t>Avg. Production</t>
  </si>
  <si>
    <t xml:space="preserve">Extracted Olive Pomace </t>
  </si>
  <si>
    <t xml:space="preserve">Price </t>
  </si>
  <si>
    <t>Eur/ton</t>
  </si>
  <si>
    <t>Price</t>
  </si>
  <si>
    <t>Nº sample</t>
  </si>
  <si>
    <t>Moisture, %</t>
  </si>
  <si>
    <t>Fat yield (wet basis) , %</t>
  </si>
  <si>
    <t>Fat yield (dry basis), %</t>
  </si>
  <si>
    <t>60.39</t>
  </si>
  <si>
    <t>1.84</t>
  </si>
  <si>
    <t>4.65</t>
  </si>
  <si>
    <t>57.28</t>
  </si>
  <si>
    <t>1.98</t>
  </si>
  <si>
    <t>4.63</t>
  </si>
  <si>
    <t>58.06</t>
  </si>
  <si>
    <t>1.14</t>
  </si>
  <si>
    <t>4.38</t>
  </si>
  <si>
    <t>0-8</t>
  </si>
  <si>
    <t xml:space="preserve">Eur/ton </t>
  </si>
  <si>
    <t xml:space="preserve">Moisture </t>
  </si>
  <si>
    <t>Olive tree pruning biomass</t>
  </si>
  <si>
    <t xml:space="preserve">Availability </t>
  </si>
  <si>
    <t>Aqueous</t>
  </si>
  <si>
    <t>ash</t>
  </si>
  <si>
    <t>Solids</t>
  </si>
  <si>
    <t>Water</t>
  </si>
  <si>
    <t>Organics</t>
  </si>
  <si>
    <t>H2O</t>
  </si>
  <si>
    <t>kg</t>
  </si>
  <si>
    <t>IN</t>
  </si>
  <si>
    <t>OUT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</si>
  <si>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</si>
  <si>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</si>
  <si>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</si>
  <si>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</si>
  <si>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</si>
  <si>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</si>
  <si>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</si>
  <si>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Electricity Consumption</t>
  </si>
  <si>
    <t>kWh/kgDB</t>
  </si>
  <si>
    <t>100.00%</t>
  </si>
  <si>
    <t>3a. Hot Water Injection</t>
  </si>
  <si>
    <t>0.021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</si>
  <si>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</si>
  <si>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</si>
  <si>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</si>
  <si>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</si>
  <si>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</si>
  <si>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</si>
  <si>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</si>
  <si>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</si>
  <si>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</si>
  <si>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</si>
  <si>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</si>
  <si>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3b. Hydrothermal Liquefaction Reactor</t>
  </si>
  <si>
    <t>Temperature, reaction</t>
  </si>
  <si>
    <t>Residence Time</t>
  </si>
  <si>
    <t>Pressure, reaction</t>
  </si>
  <si>
    <t>Fuel Gas to Burner</t>
  </si>
  <si>
    <t>MJ/kgFeed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</si>
  <si>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</si>
  <si>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</si>
  <si>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</si>
  <si>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</si>
  <si>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</si>
  <si>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</si>
  <si>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</si>
  <si>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</si>
  <si>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</si>
  <si>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</si>
  <si>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</si>
  <si>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</si>
  <si>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</si>
  <si>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</si>
  <si>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</si>
  <si>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</si>
  <si>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</si>
  <si>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</si>
  <si>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</si>
  <si>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</si>
  <si>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</si>
  <si>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</si>
  <si>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</si>
  <si>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</si>
  <si>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</si>
  <si>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</si>
  <si>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</si>
  <si>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</si>
  <si>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</si>
  <si>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</si>
  <si>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</si>
  <si>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</si>
  <si>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</si>
  <si>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</si>
  <si>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</si>
  <si>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</si>
  <si>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</si>
  <si>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</si>
  <si>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</si>
  <si>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</si>
  <si>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</si>
  <si>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</si>
  <si>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</si>
  <si>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</si>
  <si>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</si>
  <si>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</si>
  <si>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</si>
  <si>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</si>
  <si>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</si>
  <si>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</si>
  <si>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</si>
  <si>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</si>
  <si>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</si>
  <si>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</si>
  <si>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</si>
  <si>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</si>
  <si>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</si>
  <si>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</si>
  <si>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</si>
  <si>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</si>
  <si>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</si>
  <si>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</si>
  <si>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</si>
  <si>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</si>
  <si>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</si>
  <si>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</si>
  <si>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</si>
  <si>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</si>
  <si>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</si>
  <si>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</si>
  <si>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2.2.1. HYDROTHERMAL LIQUEFACTION</t>
  </si>
  <si>
    <t>1. Feedstock Acquistion</t>
  </si>
  <si>
    <t>Wet Feedstock</t>
  </si>
  <si>
    <t>of which, dry biomass</t>
  </si>
  <si>
    <t>of which, H2O</t>
  </si>
  <si>
    <t>of which, ash</t>
  </si>
  <si>
    <t>Ground Feedstock</t>
  </si>
  <si>
    <t>Aqueous Recycling Iteration Count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</si>
  <si>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</si>
  <si>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</si>
  <si>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</si>
  <si>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</si>
  <si>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</si>
  <si>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</si>
  <si>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</si>
  <si>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</si>
  <si>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</si>
  <si>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</si>
  <si>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</si>
  <si>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</si>
  <si>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</si>
  <si>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Cooled HTL Slurry</t>
  </si>
  <si>
    <t>HTL Slurry, solid-free</t>
  </si>
  <si>
    <t>Solids [to Cogeneration]</t>
  </si>
  <si>
    <t>HTL Liquid</t>
  </si>
  <si>
    <t>Offgases [to Cogeneration &amp; H2]</t>
  </si>
  <si>
    <t>of which, H2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</si>
  <si>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</si>
  <si>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</si>
  <si>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</si>
  <si>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</si>
  <si>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</si>
  <si>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</si>
  <si>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</si>
  <si>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Cool hydrotreated biocrude</t>
  </si>
  <si>
    <t>Flashed biocrude</t>
  </si>
  <si>
    <t>H2O [to WWT]</t>
  </si>
  <si>
    <t>Gas [to H2]</t>
  </si>
  <si>
    <t>H.2 Pressure Swing Absorption</t>
  </si>
  <si>
    <t>H2 [to Hydrotreatment]</t>
  </si>
  <si>
    <t>H2 [to h plant]</t>
  </si>
  <si>
    <t>h2 to cogen</t>
  </si>
  <si>
    <t>Offgasses [to H Plant]</t>
  </si>
  <si>
    <t>Offgasses [to cogen]</t>
  </si>
  <si>
    <t>0.0</t>
  </si>
  <si>
    <t>C1. Cogeneration Plant</t>
  </si>
  <si>
    <t>of which, char</t>
  </si>
  <si>
    <t>Offgassess, from processes</t>
  </si>
  <si>
    <t>Natural Gas</t>
  </si>
  <si>
    <t>Air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</si>
  <si>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</si>
  <si>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</si>
  <si>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</si>
  <si>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</si>
  <si>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</si>
  <si>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</si>
  <si>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</si>
  <si>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</si>
  <si>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</si>
  <si>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</si>
  <si>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</si>
  <si>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>H1. Hydrogen Production</t>
  </si>
  <si>
    <t>HTL Balance</t>
  </si>
  <si>
    <t>In</t>
  </si>
  <si>
    <t>Out</t>
  </si>
  <si>
    <t>Biofuel</t>
  </si>
  <si>
    <t>Waste Water [to WWT]</t>
  </si>
  <si>
    <t>Mass Imbalance</t>
  </si>
  <si>
    <t>3c. Filter Solid Liquid Seperation</t>
  </si>
  <si>
    <t>4. Cooling/Depressurization</t>
  </si>
  <si>
    <t>hot HTL Slurry</t>
  </si>
  <si>
    <t>WATER</t>
  </si>
  <si>
    <t>GUAIA-01</t>
  </si>
  <si>
    <t>4-MET-01</t>
  </si>
  <si>
    <t>ETHAN-01</t>
  </si>
  <si>
    <t>N-BUT-01</t>
  </si>
  <si>
    <t>PROPA-01</t>
  </si>
  <si>
    <t xml:space="preserve">hydrogen </t>
  </si>
  <si>
    <t>2.3.1. HYDROTHERMAL LIQUEFACTION</t>
  </si>
  <si>
    <t>kWh</t>
  </si>
  <si>
    <t>Electrcity Demand</t>
  </si>
  <si>
    <t>2.06</t>
  </si>
  <si>
    <t>Total Heating Demand</t>
  </si>
  <si>
    <t>MJ</t>
  </si>
  <si>
    <t>683.5</t>
  </si>
  <si>
    <t>Fuel/Heat Demand</t>
  </si>
  <si>
    <t>236.89</t>
  </si>
  <si>
    <t>kwh</t>
  </si>
  <si>
    <t>6.58</t>
  </si>
  <si>
    <t>Energy in Biocrude</t>
  </si>
  <si>
    <t>24388.8</t>
  </si>
  <si>
    <t>0.06</t>
  </si>
  <si>
    <t>Heat Demand</t>
  </si>
  <si>
    <t>29.96</t>
  </si>
  <si>
    <t>0.21</t>
  </si>
  <si>
    <t>Cooling Water Demand</t>
  </si>
  <si>
    <t>105.96</t>
  </si>
  <si>
    <t>H2. Pressure Swing Adsorption</t>
  </si>
  <si>
    <t>Total Heat of Reaction</t>
  </si>
  <si>
    <t>839.10</t>
  </si>
  <si>
    <t>Energy Generated, Boiler</t>
  </si>
  <si>
    <t>671.28</t>
  </si>
  <si>
    <t>Max Electric Potential</t>
  </si>
  <si>
    <t>149.17</t>
  </si>
  <si>
    <t>HTL UTILITY DEMAND TOTALS</t>
  </si>
  <si>
    <t>Total Electricity Demand</t>
  </si>
  <si>
    <t>17.77</t>
  </si>
  <si>
    <t>64.0</t>
  </si>
  <si>
    <t>Boiler Energy Used for Electricity Demand</t>
  </si>
  <si>
    <t>79.97</t>
  </si>
  <si>
    <t>Unfulfilled Electricity Demand</t>
  </si>
  <si>
    <t>Boiler Energy Remaining</t>
  </si>
  <si>
    <t>Total Heat Demand</t>
  </si>
  <si>
    <t>Process Heat Recovered</t>
  </si>
  <si>
    <t>Utility Heat Demand</t>
  </si>
  <si>
    <t>Boiler Energy Used for Heat Demand</t>
  </si>
  <si>
    <t>Unfufilled Heat Demand</t>
  </si>
  <si>
    <t>Natural Gas Demand</t>
  </si>
  <si>
    <t>Excess Boiler Energy</t>
  </si>
  <si>
    <t>Excess Electricity</t>
  </si>
  <si>
    <t>Total Utility Water Demand</t>
  </si>
  <si>
    <t>74.67</t>
  </si>
  <si>
    <t>Blow down water</t>
  </si>
  <si>
    <t>10.18</t>
  </si>
  <si>
    <t>Cooling Water</t>
  </si>
  <si>
    <t>kWh/kgdb</t>
  </si>
  <si>
    <t>Capex (steeper)</t>
  </si>
  <si>
    <t>Capacity (ODT)</t>
  </si>
  <si>
    <t>Capex (modified scale)</t>
  </si>
  <si>
    <t xml:space="preserve">Norway </t>
  </si>
  <si>
    <t xml:space="preserve">Location factor </t>
  </si>
  <si>
    <t>Norway</t>
  </si>
  <si>
    <t>USA</t>
  </si>
  <si>
    <t xml:space="preserve">Spain </t>
  </si>
  <si>
    <t xml:space="preserve">Norway to Spain </t>
  </si>
  <si>
    <t>M EUR</t>
  </si>
  <si>
    <t>Location adjusted Capex (Spain)</t>
  </si>
  <si>
    <t>Variable costs</t>
  </si>
  <si>
    <t xml:space="preserve">Feedstock </t>
  </si>
  <si>
    <t xml:space="preserve">electricity </t>
  </si>
  <si>
    <t>Boiler Efficiency</t>
  </si>
  <si>
    <t>Air Excess</t>
  </si>
  <si>
    <t>Steam Turbine Efficinecy</t>
  </si>
  <si>
    <t>from Tanzer</t>
  </si>
  <si>
    <t xml:space="preserve">Hydrotreated </t>
  </si>
  <si>
    <t>MW of C</t>
  </si>
  <si>
    <t>MW of H</t>
  </si>
  <si>
    <t>MW of O</t>
  </si>
  <si>
    <t xml:space="preserve">Molecular formula </t>
  </si>
  <si>
    <t xml:space="preserve">Molecular weight </t>
  </si>
  <si>
    <t xml:space="preserve">wt% in biocrude </t>
  </si>
  <si>
    <t>N-DEC-01</t>
  </si>
  <si>
    <t>N-PEN-01</t>
  </si>
  <si>
    <t>Mass flow (kg/hr)</t>
  </si>
  <si>
    <t>Mole flow in biocrude (in Kmol/hr)</t>
  </si>
  <si>
    <t xml:space="preserve">product </t>
  </si>
  <si>
    <t>moles</t>
  </si>
  <si>
    <t>kmol/hr of H2 is reuqired</t>
  </si>
  <si>
    <t xml:space="preserve">kg/hr of H2 is required </t>
  </si>
  <si>
    <t>biocrude flow withput impurities (kg/hr)</t>
  </si>
  <si>
    <t>with impurtities (kg/hr)</t>
  </si>
  <si>
    <t>Amount of H2 required per kg of biocrude (Kg H/Kg biocrude)</t>
  </si>
  <si>
    <t>1,5 wt%</t>
  </si>
  <si>
    <t xml:space="preserve">Kmol flowing </t>
  </si>
  <si>
    <t xml:space="preserve">C kmol flowing </t>
  </si>
  <si>
    <t xml:space="preserve">H kmol flowing </t>
  </si>
  <si>
    <t xml:space="preserve">O kmol flowing </t>
  </si>
  <si>
    <t>mol weight of H</t>
  </si>
  <si>
    <t>mol weight of O</t>
  </si>
  <si>
    <t>mol weight of C</t>
  </si>
  <si>
    <t>kg of C</t>
  </si>
  <si>
    <t>kg of H</t>
  </si>
  <si>
    <t>kg of O</t>
  </si>
  <si>
    <t>2 CYCLOPEN  + 5 HYDROGEN   --&gt;  N-DEC-01(MIXED) + 2 WATER(MIXED)</t>
  </si>
  <si>
    <t>CYCLO-01  + 4 HYDROGEN   --&gt;  N-PEN-01(MIXED) + WATER(MIXED)</t>
  </si>
  <si>
    <t>2 2-ACE-01  + 11 HYDROGEN   --&gt;  N-DOD-01(MIXED) + 4 WATER(MIXED)</t>
  </si>
  <si>
    <t>GAMMA-01  + 4 HYDROGEN   --&gt;  N-BUT-01(MIXED) + 2 WATER(MIXED)</t>
  </si>
  <si>
    <t>2:5-H-01  + 4 HYDROGEN   --&gt;  N-HEX-02(MIXED) + 2 WATER(MIXED)</t>
  </si>
  <si>
    <t>3-MET-01  + 4 HYDROGEN   --&gt;  N-HEX-03(MIXED) + WATER(MIXED)</t>
  </si>
  <si>
    <t>3-MET-02  + 4 HYDROGEN   --&gt;  1-MET-01(MIXED) + 2 WATER(MIXED)</t>
  </si>
  <si>
    <t>5-MET-01  + 4 HYDROGEN   --&gt;  2 WATER(MIXED) + CIS-1-01(MIXED)</t>
  </si>
  <si>
    <t>OLEIC-01  + 3 HYDROGEN   --&gt;  1-OCT-01(MIXED) + 2 WATER(MIXED)</t>
  </si>
  <si>
    <t>4-ALL-01  + 5 HYDROGEN   --&gt;  C10H2-01(MIXED) + WATER(MIXED)</t>
  </si>
  <si>
    <t>METHY-01  + 4 HYDROGEN   --&gt;  N-HEX-04(MIXED) + METHANE(MIXED) + 2 WATER(MIXED)</t>
  </si>
  <si>
    <t>METHY-02  + 6 HYDROGEN   --&gt;  N-OCT-01(MIXED) + METHANE(MIXED) + 2 WATER(MIXED)</t>
  </si>
  <si>
    <t>METHY-03  + 5 HYDROGEN   --&gt;  N-OCT-02(MIXED) + METHANE(MIXED) + 2 WATER(MIXED)</t>
  </si>
  <si>
    <t>METHY-04  + 5 HYDROGEN   --&gt;  N-OCT-03(MIXED) + METHANE(MIXED) + 2 WATER(MIXED)</t>
  </si>
  <si>
    <t>wt%</t>
  </si>
  <si>
    <t>O/C (adjusted)</t>
  </si>
  <si>
    <t>H20</t>
  </si>
  <si>
    <t xml:space="preserve">Mositure content in crude </t>
  </si>
  <si>
    <t>mole basis</t>
  </si>
  <si>
    <t xml:space="preserve">weight basis </t>
  </si>
  <si>
    <t>kg flow</t>
  </si>
  <si>
    <t>mol basis</t>
  </si>
  <si>
    <t>atomic basis</t>
  </si>
  <si>
    <t>Tanzer</t>
  </si>
  <si>
    <t xml:space="preserve">Aspen </t>
  </si>
  <si>
    <t xml:space="preserve">Hot water injection </t>
  </si>
  <si>
    <t xml:space="preserve">pumps </t>
  </si>
  <si>
    <t xml:space="preserve">Heat </t>
  </si>
  <si>
    <t xml:space="preserve">Hydrothermal reactor </t>
  </si>
  <si>
    <t xml:space="preserve">heat </t>
  </si>
  <si>
    <t>reactor</t>
  </si>
  <si>
    <t xml:space="preserve">Hydrotreating </t>
  </si>
  <si>
    <t>H2 compressor</t>
  </si>
  <si>
    <t xml:space="preserve">feed pump </t>
  </si>
  <si>
    <t>kWh/kg feed</t>
  </si>
  <si>
    <t>heat</t>
  </si>
  <si>
    <t xml:space="preserve">Total electricity demand </t>
  </si>
  <si>
    <t xml:space="preserve">Total heat demand </t>
  </si>
  <si>
    <t>Aspen value</t>
  </si>
  <si>
    <t xml:space="preserve">Cogenration </t>
  </si>
  <si>
    <t>kg/hr</t>
  </si>
  <si>
    <t>STEAM</t>
  </si>
  <si>
    <t>CARBO-01</t>
  </si>
  <si>
    <t>Total</t>
  </si>
  <si>
    <t xml:space="preserve">Mass fraction </t>
  </si>
  <si>
    <t>heat of combsution (MJ/kg)</t>
  </si>
  <si>
    <t xml:space="preserve">heat produced </t>
  </si>
  <si>
    <t xml:space="preserve">Natural gas </t>
  </si>
  <si>
    <t>High Pressure Steam</t>
  </si>
  <si>
    <t>Biorefinery Feedstock Demand</t>
  </si>
  <si>
    <t>dry tons of feedstock per yeaar</t>
  </si>
  <si>
    <t>t/year</t>
  </si>
  <si>
    <t>wet tons of feedstock per year</t>
  </si>
  <si>
    <t>Biorefinery Outout</t>
  </si>
  <si>
    <t>3.1.3. Hydrothermal Liquefaction</t>
  </si>
  <si>
    <t>Production</t>
  </si>
  <si>
    <t>Daily Biocrude Output</t>
  </si>
  <si>
    <t>t/day</t>
  </si>
  <si>
    <t>bbl/day</t>
  </si>
  <si>
    <t>annual biocrude output</t>
  </si>
  <si>
    <t>annual energy content of biofuel</t>
  </si>
  <si>
    <t>GJ/year</t>
  </si>
  <si>
    <t>Annual Electricity Output</t>
  </si>
  <si>
    <t>mwh/year</t>
  </si>
  <si>
    <t>Total Energy Output</t>
  </si>
  <si>
    <t>Demand Satisfaction (Energy Basis, 1 Plant)</t>
  </si>
  <si>
    <t>Scale required to satisfy 100% of demand</t>
  </si>
  <si>
    <t>tonnes/day</t>
  </si>
  <si>
    <t>% Available Residues to Satisfy National Demand</t>
  </si>
  <si>
    <t xml:space="preserve">1day </t>
  </si>
  <si>
    <t>1 year</t>
  </si>
  <si>
    <t>h</t>
  </si>
  <si>
    <t>Direct Production Costs, including</t>
  </si>
  <si>
    <t>of which, feedstock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</si>
  <si>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</si>
  <si>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</si>
  <si>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</si>
  <si>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</si>
  <si>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</si>
  <si>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</si>
  <si>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</si>
  <si>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</si>
  <si>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</si>
  <si>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Maintenance</t>
  </si>
  <si>
    <t>Plant Overhead</t>
  </si>
  <si>
    <t>Contingency</t>
  </si>
  <si>
    <t>Fixed Charges, including</t>
  </si>
  <si>
    <t>Local Taxes</t>
  </si>
  <si>
    <t>Insurance</t>
  </si>
  <si>
    <t>Depreciation</t>
  </si>
  <si>
    <t>Total  General Expenses</t>
  </si>
  <si>
    <t>TOTAL OPERATING COSTS (Annual)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</si>
  <si>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</si>
  <si>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</si>
  <si>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</si>
  <si>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</si>
  <si>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</si>
  <si>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</si>
  <si>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</si>
  <si>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</si>
  <si>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</si>
  <si>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</si>
  <si>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</si>
  <si>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</si>
  <si>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</si>
  <si>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</si>
  <si>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Equipment Scaling Factors</t>
  </si>
  <si>
    <t>-</t>
  </si>
  <si>
    <t>Hydrothermal Liquefaction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</si>
  <si>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</si>
  <si>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</si>
  <si>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</si>
  <si>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</si>
  <si>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</si>
  <si>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</si>
  <si>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</si>
  <si>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</si>
  <si>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</si>
  <si>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</si>
  <si>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</si>
  <si>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</si>
  <si>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</si>
  <si>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</si>
  <si>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</si>
  <si>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% Fixed Cap</t>
  </si>
  <si>
    <t>% Total labor</t>
  </si>
  <si>
    <t>% Total cap</t>
  </si>
  <si>
    <t>Income Taxes</t>
  </si>
  <si>
    <t>% Revenue</t>
  </si>
  <si>
    <t>General Expenses</t>
  </si>
  <si>
    <t>% Sales</t>
  </si>
  <si>
    <t>% of Direct Prod</t>
  </si>
  <si>
    <t>Fixed Capital Investments, including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</si>
  <si>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</si>
  <si>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</si>
  <si>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</si>
  <si>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</si>
  <si>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</si>
  <si>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</si>
  <si>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</si>
  <si>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</si>
  <si>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Start-up Costs</t>
  </si>
  <si>
    <t>TOTAL CAPITAL INVESTMENT</t>
  </si>
  <si>
    <t>LOCATION ADJUSTED CAPEX</t>
  </si>
  <si>
    <t>Annual Salues Revenue</t>
  </si>
  <si>
    <t>of which Biocrude</t>
  </si>
  <si>
    <t>of which Electricity</t>
  </si>
  <si>
    <t>Gross Profit</t>
  </si>
  <si>
    <t>Earninngs Before Tax</t>
  </si>
  <si>
    <t>Minimum Fuel Selling Price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</si>
  <si>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</si>
  <si>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</si>
  <si>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</si>
  <si>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</si>
  <si>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</si>
  <si>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</si>
  <si>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</si>
  <si>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</si>
  <si>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</si>
  <si>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</si>
  <si>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</si>
  <si>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</si>
  <si>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</si>
  <si>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</si>
  <si>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</si>
  <si>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</si>
  <si>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</si>
  <si>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</si>
  <si>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</si>
  <si>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</si>
  <si>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</si>
  <si>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</si>
  <si>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</si>
  <si>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</si>
  <si>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</si>
  <si>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</si>
  <si>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</si>
  <si>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</si>
  <si>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</si>
  <si>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</si>
  <si>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</si>
  <si>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</si>
  <si>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</si>
  <si>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</si>
  <si>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Char </t>
  </si>
  <si>
    <t>kg/h</t>
  </si>
  <si>
    <t xml:space="preserve">of which biochar </t>
  </si>
  <si>
    <t>4.1.3. Feedstock Variables and Related</t>
  </si>
  <si>
    <t>Feedstocks Prices, Field</t>
  </si>
  <si>
    <t>wet ton</t>
  </si>
  <si>
    <t>Feedstocks Prices,  Delivered</t>
  </si>
  <si>
    <t>Product Prices</t>
  </si>
  <si>
    <t>ton</t>
  </si>
  <si>
    <t>MGO, per GJ</t>
  </si>
  <si>
    <t>GJ</t>
  </si>
  <si>
    <t>electricity, wholesale</t>
  </si>
  <si>
    <t>electricity, wholesale, per GJ</t>
  </si>
  <si>
    <t>Comparison Product Prices</t>
  </si>
  <si>
    <t>Crude Price</t>
  </si>
  <si>
    <t>Logistics Prices</t>
  </si>
  <si>
    <t>Truck transport, fixed</t>
  </si>
  <si>
    <t>Truck transport, variable</t>
  </si>
  <si>
    <t>ton km</t>
  </si>
  <si>
    <t>Operating Expenses</t>
  </si>
  <si>
    <t>waste processing: gas [estimated]</t>
  </si>
  <si>
    <t>waste processing: water, black [estimated]</t>
  </si>
  <si>
    <t>waste processing: solids</t>
  </si>
  <si>
    <t>Natural gas, per GJ</t>
  </si>
  <si>
    <t>Base Salary</t>
  </si>
  <si>
    <t>hour</t>
  </si>
  <si>
    <t>Hydrotreating Catalyst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</si>
  <si>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</si>
  <si>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</si>
  <si>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</si>
  <si>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</si>
  <si>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</si>
  <si>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</si>
  <si>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</si>
  <si>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</si>
  <si>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</si>
  <si>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 xml:space="preserve">Phenols </t>
  </si>
  <si>
    <t>Acids</t>
  </si>
  <si>
    <t xml:space="preserve">esters </t>
  </si>
  <si>
    <t>VGO</t>
  </si>
  <si>
    <t xml:space="preserve">boiling range </t>
  </si>
  <si>
    <t xml:space="preserve">HTL crude </t>
  </si>
  <si>
    <t xml:space="preserve">diesel </t>
  </si>
  <si>
    <t xml:space="preserve">Gasoline </t>
  </si>
  <si>
    <t xml:space="preserve">LPG </t>
  </si>
  <si>
    <t xml:space="preserve">Dry gas </t>
  </si>
  <si>
    <t xml:space="preserve">coke </t>
  </si>
  <si>
    <t>&gt;350</t>
  </si>
  <si>
    <t>&gt;221</t>
  </si>
  <si>
    <t>C5-221</t>
  </si>
  <si>
    <t>C3+C4</t>
  </si>
  <si>
    <t>C1+C2+H2</t>
  </si>
  <si>
    <t>bp</t>
  </si>
  <si>
    <t>odt/year</t>
  </si>
  <si>
    <t xml:space="preserve">biofuel </t>
  </si>
  <si>
    <t xml:space="preserve">per hour </t>
  </si>
  <si>
    <t>kW</t>
  </si>
  <si>
    <t>MW</t>
  </si>
  <si>
    <t>2. Grinding</t>
  </si>
  <si>
    <t>HHV biochar</t>
  </si>
  <si>
    <t xml:space="preserve">HHV biooil 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</si>
  <si>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</si>
  <si>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</si>
  <si>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</si>
  <si>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</si>
  <si>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</si>
  <si>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</si>
  <si>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</si>
  <si>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</si>
  <si>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</si>
  <si>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</si>
  <si>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</si>
  <si>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</si>
  <si>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</si>
  <si>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</si>
  <si>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</si>
  <si>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</si>
  <si>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</si>
  <si>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</si>
  <si>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</si>
  <si>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</si>
  <si>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</si>
  <si>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</si>
  <si>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</si>
  <si>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</si>
  <si>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</si>
  <si>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</si>
  <si>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</si>
  <si>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</si>
  <si>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</si>
  <si>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</si>
  <si>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</si>
  <si>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Water-02</t>
  </si>
  <si>
    <t xml:space="preserve">moles of reactant </t>
  </si>
  <si>
    <t xml:space="preserve">moles of reactant in biocrude </t>
  </si>
  <si>
    <t xml:space="preserve">moles of hydrogen required </t>
  </si>
  <si>
    <t>dry Feedstock</t>
  </si>
  <si>
    <t xml:space="preserve">heat excahnger </t>
  </si>
  <si>
    <t>kW/kgdryfeed</t>
  </si>
  <si>
    <t>MJ/kgfeed</t>
  </si>
  <si>
    <t xml:space="preserve">oxygen </t>
  </si>
  <si>
    <t xml:space="preserve">moles of oxygen required </t>
  </si>
  <si>
    <t>CHAR</t>
  </si>
  <si>
    <t>gases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</si>
  <si>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</si>
  <si>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</si>
  <si>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</si>
  <si>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</si>
  <si>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</si>
  <si>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</si>
  <si>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</si>
  <si>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</si>
  <si>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</si>
  <si>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Currency Conversion</t>
  </si>
  <si>
    <t>Energy content of fuels (HHV)</t>
  </si>
  <si>
    <t>Molar Weights</t>
  </si>
  <si>
    <t>Specific Heats (cP)</t>
  </si>
  <si>
    <t>Characterization Factors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</si>
  <si>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</si>
  <si>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</si>
  <si>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</si>
  <si>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</si>
  <si>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</si>
  <si>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</si>
  <si>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</si>
  <si>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</si>
  <si>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</si>
  <si>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</si>
  <si>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</si>
  <si>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</si>
  <si>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EUR (2001) to USD (2015)</t>
  </si>
  <si>
    <t>USD/EUR</t>
  </si>
  <si>
    <t>Diesel</t>
  </si>
  <si>
    <t>Oxygen</t>
  </si>
  <si>
    <t>Bio CO2 to CO2-equiv</t>
  </si>
  <si>
    <t>kg CO2-eq/kg biogenic CO2</t>
  </si>
  <si>
    <t>EUR (2003) to USD (2015)</t>
  </si>
  <si>
    <t>HFO</t>
  </si>
  <si>
    <t>Hydrogen</t>
  </si>
  <si>
    <t>EUR (2010) to USD (2015)</t>
  </si>
  <si>
    <t>MGO</t>
  </si>
  <si>
    <t>Steam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</si>
  <si>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</si>
  <si>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</si>
  <si>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</si>
  <si>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</si>
  <si>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</si>
  <si>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</si>
  <si>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EUR (2016) to USD (2015)</t>
  </si>
  <si>
    <t>GFT biocrude</t>
  </si>
  <si>
    <t>Methane</t>
  </si>
  <si>
    <t>GBP (2015) to USD (2015)</t>
  </si>
  <si>
    <t>USD/GBP</t>
  </si>
  <si>
    <t>Green wood</t>
  </si>
  <si>
    <t>Carbon Monoxide</t>
  </si>
  <si>
    <t>Energy Conversion</t>
  </si>
  <si>
    <t>NOK (2015) to USD (2015)</t>
  </si>
  <si>
    <t>USD/NOK</t>
  </si>
  <si>
    <t>Wax</t>
  </si>
  <si>
    <t>C2-C4</t>
  </si>
  <si>
    <t xml:space="preserve">*Wh to *J </t>
  </si>
  <si>
    <t>J/Wh</t>
  </si>
  <si>
    <t>NOK (2016) to USD (2015)</t>
  </si>
  <si>
    <t>Liquid Natural Gas</t>
  </si>
  <si>
    <t>kWh to MJ</t>
  </si>
  <si>
    <t>MJ/kWh</t>
  </si>
  <si>
    <t>SEK (2003) to USD (2015)</t>
  </si>
  <si>
    <t>USD/SEK</t>
  </si>
  <si>
    <t>H2S</t>
  </si>
  <si>
    <t>Short ton to metric ton</t>
  </si>
  <si>
    <t>ston/mton</t>
  </si>
  <si>
    <t>SEK  (2014) to USD (2015)</t>
  </si>
  <si>
    <t>Wood chips</t>
  </si>
  <si>
    <t>NH3</t>
  </si>
  <si>
    <t>SEK  (2015) to USD (2015)</t>
  </si>
  <si>
    <t>Soy Biodiesel</t>
  </si>
  <si>
    <t>MJ/KG</t>
  </si>
  <si>
    <t>O2</t>
  </si>
  <si>
    <t>Steam energy contents</t>
  </si>
  <si>
    <t>Efficiencies</t>
  </si>
  <si>
    <t>USD (2003) to USD (2015)</t>
  </si>
  <si>
    <t>USD/USD</t>
  </si>
  <si>
    <t>SO2</t>
  </si>
  <si>
    <t>Low Pressure Steam</t>
  </si>
  <si>
    <t>truck freight</t>
  </si>
  <si>
    <t>mj/ton-km</t>
  </si>
  <si>
    <t>USD (2005) to USD (2015)</t>
  </si>
  <si>
    <t>Viscosity at 50C</t>
  </si>
  <si>
    <t>Medium Pressure Steam</t>
  </si>
  <si>
    <t>oceanic freight</t>
  </si>
  <si>
    <t>USD (2010) to USD (2015)</t>
  </si>
  <si>
    <t>mm2/s</t>
  </si>
  <si>
    <t>USD (2013) to USD (2015)</t>
  </si>
  <si>
    <t>Kerosene/Jet fuel</t>
  </si>
  <si>
    <t>C2H4 [Ethelyne]</t>
  </si>
  <si>
    <t>USD (2014) to USD (2015)</t>
  </si>
  <si>
    <t>C3H6 [Propane]</t>
  </si>
  <si>
    <t>USD (2016) to USD (2015)</t>
  </si>
  <si>
    <t>Vacuum Gas Oil</t>
  </si>
  <si>
    <t>C4H10 [Butane]</t>
  </si>
  <si>
    <t>Pressure Conversion</t>
  </si>
  <si>
    <t>USD (2017) to USD (2015)</t>
  </si>
  <si>
    <t>Vacuum Residue</t>
  </si>
  <si>
    <t>C2H6 [Ethane]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</si>
  <si>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</si>
  <si>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</si>
  <si>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</si>
  <si>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</si>
  <si>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</si>
  <si>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</si>
  <si>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</si>
  <si>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</si>
  <si>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</si>
  <si>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</si>
  <si>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</si>
  <si>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</si>
  <si>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</si>
  <si>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CEPCI</t>
  </si>
  <si>
    <t>index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</si>
  <si>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</si>
  <si>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</si>
  <si>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</si>
  <si>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</si>
  <si>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</si>
  <si>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</si>
  <si>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</si>
  <si>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</si>
  <si>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</si>
  <si>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</si>
  <si>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</si>
  <si>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>bb/ton</t>
  </si>
  <si>
    <t>gal/ton</t>
  </si>
  <si>
    <t>Conversions</t>
  </si>
  <si>
    <t>Liters per gallon</t>
  </si>
  <si>
    <t>L/gal</t>
  </si>
  <si>
    <t xml:space="preserve">Processing Capacity </t>
  </si>
  <si>
    <t>dry biomass tonnes/day</t>
  </si>
  <si>
    <t>km</t>
  </si>
  <si>
    <t xml:space="preserve">hours per year </t>
  </si>
  <si>
    <t xml:space="preserve">Feedstock price </t>
  </si>
  <si>
    <t xml:space="preserve">Transport distance from primary mill to HTL plant </t>
  </si>
  <si>
    <t>Transport distance from HTL plant to Upgrading facility</t>
  </si>
  <si>
    <t xml:space="preserve">Transport distance from Upgrading facility to port </t>
  </si>
  <si>
    <t>of which, hydrogen</t>
  </si>
  <si>
    <t>Eur/kg</t>
  </si>
  <si>
    <t xml:space="preserve">Life Span </t>
  </si>
  <si>
    <t xml:space="preserve">years </t>
  </si>
  <si>
    <t>Transport cost for 30 km</t>
  </si>
  <si>
    <t>VLSFO (fossil)</t>
  </si>
  <si>
    <t>HHV</t>
  </si>
  <si>
    <t>VLSFO</t>
  </si>
  <si>
    <t>MJ/Kg</t>
  </si>
  <si>
    <t>GJ/MWh</t>
  </si>
  <si>
    <t>EUR per...</t>
  </si>
  <si>
    <t>Eur per ton (2023) (in Gibraltor)</t>
  </si>
  <si>
    <t>Eur/MWh (in 2023)</t>
  </si>
  <si>
    <t>MWh to GJ</t>
  </si>
  <si>
    <t>Eur/kWh</t>
  </si>
  <si>
    <t>Eur/MJ</t>
  </si>
  <si>
    <t>Natural gas</t>
  </si>
  <si>
    <t>Scaling power factors</t>
  </si>
  <si>
    <t>EUR to USD (2023)</t>
  </si>
  <si>
    <t>EUR for Brent Crude/Barrel</t>
  </si>
  <si>
    <t xml:space="preserve">Catalyst cost </t>
  </si>
  <si>
    <t>Ni Mo</t>
  </si>
  <si>
    <t>$/kg</t>
  </si>
  <si>
    <t>kg/tonne biooil</t>
  </si>
  <si>
    <t>reference</t>
  </si>
  <si>
    <t>Spain model</t>
  </si>
  <si>
    <t>2023 M EUR</t>
  </si>
  <si>
    <t>EUR (2023) per …</t>
  </si>
  <si>
    <t xml:space="preserve">US inflation </t>
  </si>
  <si>
    <t>https://www.usinflationcalculator.com/</t>
  </si>
  <si>
    <t>M EUR/year</t>
  </si>
  <si>
    <t>M EUR/YEAR</t>
  </si>
  <si>
    <t xml:space="preserve">M EUR/year </t>
  </si>
  <si>
    <t>Olive pomace</t>
  </si>
  <si>
    <t>MGO (fossil)</t>
  </si>
  <si>
    <t>MFSP: MGO Price Ratio</t>
  </si>
  <si>
    <t>EUR/ton</t>
  </si>
  <si>
    <t>MFSP: VLSFO Price Ratio</t>
  </si>
  <si>
    <t>kg Catalyst needed per hour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</si>
  <si>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</si>
  <si>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</si>
  <si>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</si>
  <si>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</si>
  <si>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</si>
  <si>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</si>
  <si>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</si>
  <si>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</si>
  <si>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2023 Oct</t>
  </si>
  <si>
    <t>2023 Sep</t>
  </si>
  <si>
    <t>2023 Aug</t>
  </si>
  <si>
    <t>2023 Jul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</si>
  <si>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</si>
  <si>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</si>
  <si>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</si>
  <si>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</si>
  <si>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</si>
  <si>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</si>
  <si>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</si>
  <si>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</si>
  <si>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</si>
  <si>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</si>
  <si>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</si>
  <si>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</si>
  <si>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</si>
  <si>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</si>
  <si>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</si>
  <si>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</si>
  <si>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</si>
  <si>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</si>
  <si>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</si>
  <si>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</si>
  <si>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</si>
  <si>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</si>
  <si>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</si>
  <si>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</si>
  <si>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</si>
  <si>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</si>
  <si>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</si>
  <si>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</si>
  <si>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</si>
  <si>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</si>
  <si>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</si>
  <si>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567.5</t>
  </si>
  <si>
    <t>541.7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</si>
  <si>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</si>
  <si>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</si>
  <si>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</si>
  <si>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</si>
  <si>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</si>
  <si>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</si>
  <si>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</si>
  <si>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</si>
  <si>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</si>
  <si>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</si>
  <si>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</si>
  <si>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</si>
  <si>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</si>
  <si>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</si>
  <si>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</si>
  <si>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</si>
  <si>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Month</t>
  </si>
  <si>
    <t>cost factor conversion 2015 to 2023</t>
  </si>
  <si>
    <t>cost factor conversion 2020 to 2023</t>
  </si>
  <si>
    <t>biocrude ouput</t>
  </si>
  <si>
    <t xml:space="preserve">biofuel ouput </t>
  </si>
  <si>
    <t>Split</t>
  </si>
  <si>
    <t>Light naphtha</t>
  </si>
  <si>
    <t xml:space="preserve">Biojet </t>
  </si>
  <si>
    <t xml:space="preserve">bionaphtha </t>
  </si>
  <si>
    <t xml:space="preserve">biojet </t>
  </si>
  <si>
    <t xml:space="preserve">Light Naphtha </t>
  </si>
  <si>
    <t>Prices in 2023</t>
  </si>
  <si>
    <t>USD/ton</t>
  </si>
  <si>
    <t>denisty from aspen</t>
  </si>
  <si>
    <t>USD/kg</t>
  </si>
  <si>
    <t>USD/L</t>
  </si>
  <si>
    <t>assumed HEFA biojet rate</t>
  </si>
  <si>
    <t xml:space="preserve">light Naphtha </t>
  </si>
  <si>
    <t xml:space="preserve">Capacity </t>
  </si>
  <si>
    <t>MFSP</t>
  </si>
  <si>
    <t xml:space="preserve">HTL with upgrading </t>
  </si>
  <si>
    <t xml:space="preserve">HTL + upgrading + fractionation </t>
  </si>
  <si>
    <t>MFSP (0%)</t>
  </si>
  <si>
    <t>MFSP (-50%)</t>
  </si>
  <si>
    <t>MFSP (-25%)</t>
  </si>
  <si>
    <t>MFSP (+25%)</t>
  </si>
  <si>
    <t>MFSP (+50%)</t>
  </si>
  <si>
    <t>MGO price</t>
  </si>
  <si>
    <t>Reactor cost</t>
  </si>
  <si>
    <t>Reactor costs</t>
  </si>
  <si>
    <t>Feedstock price</t>
  </si>
  <si>
    <t>Eur/t</t>
  </si>
  <si>
    <t>Eur/tkm</t>
  </si>
  <si>
    <t>Biocrude/biofuel to be transported (in ktpa)</t>
  </si>
  <si>
    <t>Transport fixed costs (based on tonnes, MEUR per year)</t>
  </si>
  <si>
    <t>tkm</t>
  </si>
  <si>
    <t>Transport variable costs (based on tkm, in MEUR per year)</t>
  </si>
  <si>
    <t>Total transportation costs in MEUR per year</t>
  </si>
  <si>
    <t xml:space="preserve">transport fixed price </t>
  </si>
  <si>
    <t>Transport fixed</t>
  </si>
  <si>
    <t xml:space="preserve">Transport variable </t>
  </si>
  <si>
    <t xml:space="preserve">transport variale price </t>
  </si>
  <si>
    <t>Feedstock</t>
  </si>
  <si>
    <t>WWT</t>
  </si>
  <si>
    <t>Gas cleaning</t>
  </si>
  <si>
    <t>Ash Disposal</t>
  </si>
  <si>
    <t>Catalysts</t>
  </si>
  <si>
    <t>Biofuel Transportation</t>
  </si>
  <si>
    <t>HTL + Upgrading</t>
  </si>
  <si>
    <t>HTL+Upgarding+Fractionation</t>
  </si>
  <si>
    <t>Transport (fixed cost)</t>
  </si>
  <si>
    <t>Transport (variable costs)</t>
  </si>
  <si>
    <t>Base</t>
  </si>
  <si>
    <t>MGO price (-50%,-25%,0,25%,50%</t>
  </si>
  <si>
    <t>`</t>
  </si>
  <si>
    <t>h2 (energy in)</t>
  </si>
  <si>
    <t>Yield</t>
  </si>
  <si>
    <t>biofuel yield</t>
  </si>
  <si>
    <t>Pessimistic</t>
  </si>
  <si>
    <t>Optimistic</t>
  </si>
  <si>
    <t>Biofuel Yield (0.3/0.4) in kg biofuel/kg dry biomass</t>
  </si>
  <si>
    <t>HTL + Co Upgrading + Fractionation</t>
  </si>
  <si>
    <t>HTL + Co Upgarding</t>
  </si>
  <si>
    <t>TCI</t>
  </si>
  <si>
    <t>Direct Production costs</t>
  </si>
  <si>
    <t>Plant overhead</t>
  </si>
  <si>
    <t>Contigency</t>
  </si>
  <si>
    <t>Fixed charges</t>
  </si>
  <si>
    <t>Total General expenses</t>
  </si>
  <si>
    <t>HTL+Upgrading</t>
  </si>
  <si>
    <t>HTL+Co-Upgrading</t>
  </si>
  <si>
    <t>HTL+Upgrading+Co-distillation</t>
  </si>
  <si>
    <t>HTL+Co-Upgrading+Co-Distillation</t>
  </si>
  <si>
    <t>TOC</t>
  </si>
  <si>
    <t>Direct Capital costs</t>
  </si>
  <si>
    <t>Indirect costs</t>
  </si>
  <si>
    <t>Contractor fees</t>
  </si>
  <si>
    <t xml:space="preserve">Fixed capital investment </t>
  </si>
  <si>
    <t xml:space="preserve">Working capital </t>
  </si>
  <si>
    <t>Start up costs</t>
  </si>
  <si>
    <t>HTL Reactor equipment cost (62.35/124.7/187.05) in MEuro</t>
  </si>
  <si>
    <t>MGO price (445/890/1335) in Euro/ton</t>
  </si>
  <si>
    <t>COP price (0/25/100) Euro/ton</t>
  </si>
  <si>
    <t>Fixed transport cost price (6/12/18) in Euro/ton</t>
  </si>
  <si>
    <t xml:space="preserve"> Variable transport cost price (0.21/0.27/0.33) in Euro/ton-km</t>
  </si>
  <si>
    <t>prouction coists</t>
  </si>
  <si>
    <t xml:space="preserve">Contingency factor </t>
  </si>
  <si>
    <t>Contingency factor (15%/50%)</t>
  </si>
  <si>
    <t xml:space="preserve">Installation factor </t>
  </si>
  <si>
    <t>Installation Factor (150%/250% of TPEC)</t>
  </si>
  <si>
    <t>increase in the parametric value</t>
  </si>
  <si>
    <t>decrease in the parametric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</si>
</sst>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#,##0.0"/>
    <numFmt numFmtId="166" formatCode="0.0000"/>
    <numFmt numFmtId="167" formatCode="0.00000"/>
    <numFmt numFmtId="168" formatCode="0.0"/>
    <numFmt numFmtId="169" formatCode="0.0%"/>
    <numFmt numFmtId="170" formatCode="0.000000"/>
    <numFmt numFmtId="171" formatCode="0.0000000"/>
  </numFmts>
  <fonts count="10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Arial"/>
      <charset val="238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i/>
      <sz val="11"/>
      <color rgb="FF7F7F7F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sz val="10"/>
      <color theme="1"/>
      <name val="Calibri"/>
      <family val="2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sz val="11"/>
      <color rgb="FF000000"/>
      <name val="Calibri"/>
      <family val="2"/>
    </font>
    <font>
      <b/>
      <sz val="10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000000"/>
      <name val="Arial"/>
    </font>
    <font>
      <sz val="7"/>
      <color rgb="FF202124"/>
      <name val="Arial"/>
      <family val="2"/>
    </font>
    <font>
      <sz val="8"/>
      <name val="Calibri"/>
    </font>
    <font>
      <sz val="8"/>
      <color rgb="FF000000"/>
      <name val="Calibri"/>
    </font>
    <font>
      <b/>
      <sz val="10"/>
      <name val="Calibri"/>
    </font>
    <font>
      <b/>
      <sz val="10"/>
      <color rgb="FF000000"/>
      <name val="Calibri"/>
    </font>
    <font>
      <sz val="10"/>
      <color rgb="FFB7B7B7"/>
      <name val="Calibri"/>
    </font>
    <font>
      <sz val="10"/>
      <color rgb="FFFFFFFF"/>
      <name val="Calibri"/>
    </font>
    <font>
      <b/>
      <i/>
      <sz val="10"/>
      <color rgb="FF000000"/>
      <name val="Calibri"/>
    </font>
    <font>
      <i/>
      <sz val="10"/>
      <name val="Calibri"/>
    </font>
    <font>
      <i/>
      <sz val="10"/>
      <color rgb="FF000000"/>
      <name val="Calibri"/>
    </font>
    <font>
      <b/>
      <i/>
      <sz val="10"/>
      <name val="Calibri"/>
    </font>
    <font>
      <sz val="9"/>
      <color rgb="FFFFFFFF"/>
      <name val="Calibri"/>
    </font>
    <font>
      <sz val="10"/>
      <color rgb="FFFF0000"/>
      <name val="Calibri"/>
    </font>
    <font>
      <sz val="9"/>
      <color rgb="FF000000"/>
      <name val="Arial"/>
    </font>
    <font>
      <sz val="9"/>
      <name val="Arial"/>
    </font>
    <font>
      <sz val="9"/>
      <color rgb="FFFF0000"/>
      <name val="Calibri"/>
    </font>
    <font>
      <sz val="8"/>
      <color rgb="FFB7B7B7"/>
      <name val="Calibri"/>
    </font>
    <font>
      <sz val="9"/>
      <color rgb="FFB7B7B7"/>
      <name val="Calibri"/>
    </font>
    <font>
      <i/>
      <sz val="10"/>
      <color rgb="FFFFFFFF"/>
      <name val="Calibri"/>
    </font>
    <font>
      <b/>
      <sz val="9"/>
      <color rgb="FF000000"/>
      <name val="Calibri"/>
    </font>
    <font>
      <b/>
      <sz val="9"/>
      <name val="Calibri"/>
    </font>
    <font>
      <sz val="11"/>
      <color rgb="FF7E3794"/>
      <name val="Calibri"/>
    </font>
    <font>
      <sz val="11"/>
      <color rgb="FFF7981D"/>
      <name val="Calibri"/>
    </font>
    <font>
      <sz val="11"/>
      <color rgb="FF202124"/>
      <name val="Calibri"/>
      <family val="2"/>
      <scheme val="minor"/>
    </font>
    <font>
      <sz val="8"/>
      <name val="Calibri"/>
      <family val="2"/>
    </font>
    <font>
      <i/>
      <sz val="9"/>
      <color rgb="FF000000"/>
      <name val="Calibri"/>
    </font>
    <font>
      <sz val="10"/>
      <color rgb="FF999999"/>
      <name val="Arial"/>
    </font>
    <font>
      <sz val="11"/>
      <color rgb="FF000000"/>
      <name val="Inconsolata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sz val="8"/>
      <color rgb="FF000000"/>
      <name val="Cambria"/>
      <family val="1"/>
    </font>
    <font>
      <b/>
      <sz val="10"/>
      <color rgb="FF5B6A79"/>
      <name val="Calibri"/>
    </font>
    <font>
      <b/>
      <i/>
      <sz val="10"/>
      <color rgb="FFFFFFFF"/>
      <name val="Calibri"/>
    </font>
    <font>
      <sz val="10"/>
      <name val="Calibri"/>
      <family val="2"/>
    </font>
    <font>
      <sz val="9"/>
      <name val="Calibri"/>
      <family val="2"/>
    </font>
    <font>
      <b/>
      <sz val="10"/>
      <color theme="0"/>
      <name val="Calibri"/>
      <family val="2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8"/>
      <color rgb="FF252525"/>
      <name val="Arial"/>
      <family val="2"/>
    </font>
    <font>
      <b/>
      <sz val="8"/>
      <color rgb="FF252525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44"/>
        <bgColor indexed="64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052C50"/>
        <bgColor rgb="FF052C50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  <fill>
      <patternFill patternType="solid">
        <fgColor theme="5"/>
        <bgColor indexed="64"/>
      </patternFill>
    </fill>
    <fill>
      <patternFill patternType="solid">
        <fgColor rgb="FF72BD57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9" fontId="5" fillId="0" borderId="0" applyFon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1" applyNumberFormat="0" applyAlignment="0" applyProtection="0"/>
    <xf numFmtId="0" fontId="9" fillId="9" borderId="2" applyNumberFormat="0" applyAlignment="0" applyProtection="0"/>
    <xf numFmtId="0" fontId="10" fillId="0" borderId="0" applyNumberFormat="0" applyFill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2" fillId="0" borderId="0"/>
    <xf numFmtId="0" fontId="44" fillId="0" borderId="0" applyNumberFormat="0" applyFill="0" applyBorder="0" applyAlignment="0" applyProtection="0"/>
  </cellStyleXfs>
  <cellXfs count="355">
    <xf numFmtId="0" fontId="0" fillId="0" borderId="0" xfId="0"/>
    <xf numFmtId="10" fontId="0" fillId="0" borderId="0" xfId="0" applyNumberFormat="1"/>
    <xf numFmtId="0" fontId="2" fillId="0" borderId="0" xfId="0" applyFont="1"/>
    <xf numFmtId="2" fontId="0" fillId="0" borderId="0" xfId="0" applyNumberFormat="1"/>
    <xf numFmtId="0" fontId="0" fillId="0" borderId="0" xfId="0" applyAlignment="1">
      <alignment horizontal="left" indent="4"/>
    </xf>
    <xf numFmtId="0" fontId="0" fillId="0" borderId="0" xfId="0" applyAlignment="1">
      <alignment horizontal="left" indent="6"/>
    </xf>
    <xf numFmtId="9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Alignment="1">
      <alignment horizontal="left" indent="4"/>
    </xf>
    <xf numFmtId="0" fontId="0" fillId="3" borderId="0" xfId="0" applyFill="1" applyAlignment="1">
      <alignment horizontal="left" indent="4"/>
    </xf>
    <xf numFmtId="0" fontId="0" fillId="4" borderId="0" xfId="0" applyFill="1" applyAlignment="1">
      <alignment horizontal="left" indent="4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0" fillId="5" borderId="0" xfId="0" applyFill="1" applyAlignment="1">
      <alignment horizontal="left" indent="4"/>
    </xf>
    <xf numFmtId="164" fontId="1" fillId="0" borderId="0" xfId="0" applyNumberFormat="1" applyFont="1"/>
    <xf numFmtId="0" fontId="0" fillId="2" borderId="0" xfId="0" applyFill="1" applyAlignment="1">
      <alignment horizontal="left"/>
    </xf>
    <xf numFmtId="0" fontId="13" fillId="0" borderId="0" xfId="9" applyFont="1" applyAlignment="1">
      <alignment wrapText="1"/>
    </xf>
    <xf numFmtId="0" fontId="14" fillId="0" borderId="0" xfId="9" applyFont="1" applyAlignment="1">
      <alignment wrapText="1"/>
    </xf>
    <xf numFmtId="0" fontId="13" fillId="0" borderId="0" xfId="9" applyFont="1" applyAlignment="1">
      <alignment horizontal="center" wrapText="1"/>
    </xf>
    <xf numFmtId="0" fontId="12" fillId="0" borderId="0" xfId="9"/>
    <xf numFmtId="0" fontId="15" fillId="0" borderId="0" xfId="9" applyFont="1"/>
    <xf numFmtId="0" fontId="16" fillId="0" borderId="0" xfId="9" applyFont="1"/>
    <xf numFmtId="0" fontId="17" fillId="0" borderId="0" xfId="9" applyFont="1" applyAlignment="1">
      <alignment horizontal="center"/>
    </xf>
    <xf numFmtId="0" fontId="17" fillId="12" borderId="3" xfId="9" applyFont="1" applyFill="1" applyBorder="1"/>
    <xf numFmtId="0" fontId="18" fillId="12" borderId="3" xfId="9" applyFont="1" applyFill="1" applyBorder="1" applyAlignment="1">
      <alignment horizontal="center"/>
    </xf>
    <xf numFmtId="0" fontId="17" fillId="12" borderId="3" xfId="9" applyFont="1" applyFill="1" applyBorder="1" applyAlignment="1">
      <alignment horizontal="center"/>
    </xf>
    <xf numFmtId="0" fontId="19" fillId="12" borderId="3" xfId="9" applyFont="1" applyFill="1" applyBorder="1" applyAlignment="1">
      <alignment horizontal="center"/>
    </xf>
    <xf numFmtId="3" fontId="18" fillId="0" borderId="3" xfId="9" applyNumberFormat="1" applyFont="1" applyBorder="1"/>
    <xf numFmtId="165" fontId="18" fillId="0" borderId="3" xfId="9" applyNumberFormat="1" applyFont="1" applyBorder="1"/>
    <xf numFmtId="3" fontId="17" fillId="0" borderId="3" xfId="9" applyNumberFormat="1" applyFont="1" applyBorder="1"/>
    <xf numFmtId="3" fontId="19" fillId="0" borderId="3" xfId="9" applyNumberFormat="1" applyFont="1" applyBorder="1"/>
    <xf numFmtId="3" fontId="17" fillId="0" borderId="3" xfId="9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20" fillId="0" borderId="0" xfId="6" applyFont="1" applyFill="1" applyBorder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0" fontId="7" fillId="0" borderId="0" xfId="3" applyFill="1" applyBorder="1"/>
    <xf numFmtId="0" fontId="10" fillId="0" borderId="0" xfId="6" applyFill="1" applyBorder="1"/>
    <xf numFmtId="0" fontId="8" fillId="0" borderId="0" xfId="4" applyFill="1" applyBorder="1"/>
    <xf numFmtId="0" fontId="9" fillId="0" borderId="0" xfId="5" applyFill="1" applyBorder="1"/>
    <xf numFmtId="0" fontId="21" fillId="13" borderId="4" xfId="0" applyFont="1" applyFill="1" applyBorder="1" applyAlignment="1">
      <alignment vertical="center"/>
    </xf>
    <xf numFmtId="0" fontId="22" fillId="13" borderId="4" xfId="0" applyFont="1" applyFill="1" applyBorder="1" applyAlignment="1">
      <alignment wrapText="1"/>
    </xf>
    <xf numFmtId="0" fontId="22" fillId="14" borderId="4" xfId="0" applyFont="1" applyFill="1" applyBorder="1" applyAlignment="1">
      <alignment wrapText="1"/>
    </xf>
    <xf numFmtId="0" fontId="21" fillId="13" borderId="4" xfId="0" applyFont="1" applyFill="1" applyBorder="1" applyAlignment="1">
      <alignment wrapText="1"/>
    </xf>
    <xf numFmtId="0" fontId="23" fillId="14" borderId="4" xfId="0" applyFont="1" applyFill="1" applyBorder="1" applyAlignment="1">
      <alignment wrapText="1"/>
    </xf>
    <xf numFmtId="0" fontId="24" fillId="14" borderId="4" xfId="0" applyFont="1" applyFill="1" applyBorder="1" applyAlignment="1">
      <alignment wrapText="1"/>
    </xf>
    <xf numFmtId="9" fontId="23" fillId="14" borderId="4" xfId="0" applyNumberFormat="1" applyFont="1" applyFill="1" applyBorder="1" applyAlignment="1">
      <alignment horizontal="right" wrapText="1"/>
    </xf>
    <xf numFmtId="0" fontId="23" fillId="14" borderId="4" xfId="0" applyFont="1" applyFill="1" applyBorder="1" applyAlignment="1">
      <alignment horizontal="right" wrapText="1"/>
    </xf>
    <xf numFmtId="0" fontId="25" fillId="14" borderId="4" xfId="0" applyFont="1" applyFill="1" applyBorder="1" applyAlignment="1">
      <alignment horizontal="right" wrapText="1"/>
    </xf>
    <xf numFmtId="0" fontId="26" fillId="14" borderId="4" xfId="0" applyFont="1" applyFill="1" applyBorder="1" applyAlignment="1">
      <alignment horizontal="right" wrapText="1"/>
    </xf>
    <xf numFmtId="0" fontId="27" fillId="14" borderId="4" xfId="0" applyFont="1" applyFill="1" applyBorder="1" applyAlignment="1">
      <alignment horizontal="right" wrapText="1"/>
    </xf>
    <xf numFmtId="0" fontId="26" fillId="14" borderId="4" xfId="0" applyFont="1" applyFill="1" applyBorder="1" applyAlignment="1">
      <alignment wrapText="1"/>
    </xf>
    <xf numFmtId="3" fontId="26" fillId="14" borderId="4" xfId="0" applyNumberFormat="1" applyFont="1" applyFill="1" applyBorder="1" applyAlignment="1">
      <alignment horizontal="right" wrapText="1"/>
    </xf>
    <xf numFmtId="0" fontId="28" fillId="14" borderId="4" xfId="0" applyFont="1" applyFill="1" applyBorder="1" applyAlignment="1">
      <alignment wrapText="1"/>
    </xf>
    <xf numFmtId="0" fontId="29" fillId="14" borderId="4" xfId="0" applyFont="1" applyFill="1" applyBorder="1" applyAlignment="1">
      <alignment wrapText="1"/>
    </xf>
    <xf numFmtId="0" fontId="28" fillId="14" borderId="4" xfId="0" applyFont="1" applyFill="1" applyBorder="1" applyAlignment="1">
      <alignment vertical="center"/>
    </xf>
    <xf numFmtId="9" fontId="30" fillId="14" borderId="4" xfId="0" applyNumberFormat="1" applyFont="1" applyFill="1" applyBorder="1" applyAlignment="1">
      <alignment horizontal="right" wrapText="1"/>
    </xf>
    <xf numFmtId="0" fontId="31" fillId="14" borderId="4" xfId="0" applyFont="1" applyFill="1" applyBorder="1" applyAlignment="1">
      <alignment wrapText="1"/>
    </xf>
    <xf numFmtId="0" fontId="32" fillId="14" borderId="4" xfId="0" applyFont="1" applyFill="1" applyBorder="1" applyAlignment="1">
      <alignment wrapText="1"/>
    </xf>
    <xf numFmtId="0" fontId="30" fillId="14" borderId="4" xfId="0" applyFont="1" applyFill="1" applyBorder="1" applyAlignment="1">
      <alignment horizontal="right" wrapText="1"/>
    </xf>
    <xf numFmtId="9" fontId="27" fillId="14" borderId="4" xfId="0" applyNumberFormat="1" applyFont="1" applyFill="1" applyBorder="1" applyAlignment="1">
      <alignment horizontal="right" wrapText="1"/>
    </xf>
    <xf numFmtId="0" fontId="33" fillId="14" borderId="4" xfId="0" applyFont="1" applyFill="1" applyBorder="1" applyAlignment="1">
      <alignment wrapText="1"/>
    </xf>
    <xf numFmtId="0" fontId="33" fillId="14" borderId="4" xfId="0" applyFont="1" applyFill="1" applyBorder="1" applyAlignment="1">
      <alignment horizontal="right" wrapText="1"/>
    </xf>
    <xf numFmtId="0" fontId="34" fillId="14" borderId="4" xfId="0" applyFont="1" applyFill="1" applyBorder="1" applyAlignment="1">
      <alignment wrapText="1"/>
    </xf>
    <xf numFmtId="0" fontId="34" fillId="14" borderId="4" xfId="0" applyFont="1" applyFill="1" applyBorder="1" applyAlignment="1">
      <alignment horizontal="right" wrapText="1"/>
    </xf>
    <xf numFmtId="0" fontId="22" fillId="14" borderId="4" xfId="0" applyFont="1" applyFill="1" applyBorder="1" applyAlignment="1">
      <alignment horizontal="right" wrapText="1"/>
    </xf>
    <xf numFmtId="9" fontId="10" fillId="0" borderId="0" xfId="6" applyNumberFormat="1" applyFill="1" applyBorder="1"/>
    <xf numFmtId="10" fontId="10" fillId="0" borderId="0" xfId="6" applyNumberFormat="1" applyFill="1" applyBorder="1"/>
    <xf numFmtId="0" fontId="9" fillId="0" borderId="0" xfId="8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2" applyFill="1" applyBorder="1"/>
    <xf numFmtId="166" fontId="0" fillId="0" borderId="0" xfId="0" applyNumberFormat="1"/>
    <xf numFmtId="9" fontId="0" fillId="0" borderId="0" xfId="1" applyFont="1" applyFill="1" applyBorder="1"/>
    <xf numFmtId="0" fontId="22" fillId="0" borderId="4" xfId="0" applyFont="1" applyBorder="1" applyAlignment="1">
      <alignment wrapText="1"/>
    </xf>
    <xf numFmtId="9" fontId="23" fillId="0" borderId="4" xfId="0" applyNumberFormat="1" applyFont="1" applyBorder="1" applyAlignment="1">
      <alignment horizontal="right" wrapText="1"/>
    </xf>
    <xf numFmtId="0" fontId="23" fillId="0" borderId="4" xfId="0" applyFont="1" applyBorder="1" applyAlignment="1">
      <alignment horizontal="right" wrapText="1"/>
    </xf>
    <xf numFmtId="0" fontId="25" fillId="0" borderId="4" xfId="0" applyFont="1" applyBorder="1" applyAlignment="1">
      <alignment horizontal="right" wrapText="1"/>
    </xf>
    <xf numFmtId="0" fontId="26" fillId="0" borderId="4" xfId="0" applyFont="1" applyBorder="1" applyAlignment="1">
      <alignment horizontal="right" wrapText="1"/>
    </xf>
    <xf numFmtId="0" fontId="27" fillId="0" borderId="4" xfId="0" applyFont="1" applyBorder="1" applyAlignment="1">
      <alignment horizontal="right" wrapText="1"/>
    </xf>
    <xf numFmtId="3" fontId="26" fillId="0" borderId="4" xfId="0" applyNumberFormat="1" applyFont="1" applyBorder="1" applyAlignment="1">
      <alignment horizontal="right" wrapText="1"/>
    </xf>
    <xf numFmtId="9" fontId="30" fillId="0" borderId="4" xfId="0" applyNumberFormat="1" applyFont="1" applyBorder="1" applyAlignment="1">
      <alignment horizontal="right" wrapText="1"/>
    </xf>
    <xf numFmtId="0" fontId="30" fillId="0" borderId="4" xfId="0" applyFont="1" applyBorder="1" applyAlignment="1">
      <alignment horizontal="right" wrapText="1"/>
    </xf>
    <xf numFmtId="9" fontId="27" fillId="0" borderId="4" xfId="0" applyNumberFormat="1" applyFont="1" applyBorder="1" applyAlignment="1">
      <alignment horizontal="right" wrapText="1"/>
    </xf>
    <xf numFmtId="0" fontId="33" fillId="0" borderId="4" xfId="0" applyFont="1" applyBorder="1" applyAlignment="1">
      <alignment horizontal="right" wrapText="1"/>
    </xf>
    <xf numFmtId="0" fontId="34" fillId="0" borderId="4" xfId="0" applyFont="1" applyBorder="1" applyAlignment="1">
      <alignment horizontal="right" wrapText="1"/>
    </xf>
    <xf numFmtId="0" fontId="22" fillId="0" borderId="4" xfId="0" applyFont="1" applyBorder="1" applyAlignment="1">
      <alignment horizontal="right" wrapText="1"/>
    </xf>
    <xf numFmtId="0" fontId="21" fillId="0" borderId="4" xfId="0" applyFont="1" applyBorder="1" applyAlignment="1">
      <alignment vertical="center"/>
    </xf>
    <xf numFmtId="0" fontId="29" fillId="0" borderId="4" xfId="0" applyFont="1" applyBorder="1" applyAlignment="1">
      <alignment wrapText="1"/>
    </xf>
    <xf numFmtId="0" fontId="23" fillId="0" borderId="4" xfId="0" applyFont="1" applyBorder="1" applyAlignment="1">
      <alignment wrapText="1"/>
    </xf>
    <xf numFmtId="0" fontId="24" fillId="0" borderId="4" xfId="0" applyFont="1" applyBorder="1" applyAlignment="1">
      <alignment wrapText="1"/>
    </xf>
    <xf numFmtId="0" fontId="33" fillId="0" borderId="4" xfId="0" applyFont="1" applyBorder="1" applyAlignment="1">
      <alignment wrapText="1"/>
    </xf>
    <xf numFmtId="0" fontId="34" fillId="0" borderId="4" xfId="0" applyFont="1" applyBorder="1" applyAlignment="1">
      <alignment wrapText="1"/>
    </xf>
    <xf numFmtId="0" fontId="21" fillId="0" borderId="4" xfId="0" applyFont="1" applyBorder="1" applyAlignment="1">
      <alignment wrapText="1"/>
    </xf>
    <xf numFmtId="0" fontId="28" fillId="0" borderId="4" xfId="0" applyFont="1" applyBorder="1" applyAlignment="1">
      <alignment wrapText="1"/>
    </xf>
    <xf numFmtId="0" fontId="27" fillId="14" borderId="4" xfId="0" applyFont="1" applyFill="1" applyBorder="1" applyAlignment="1">
      <alignment wrapText="1"/>
    </xf>
    <xf numFmtId="0" fontId="35" fillId="14" borderId="4" xfId="0" applyFont="1" applyFill="1" applyBorder="1" applyAlignment="1">
      <alignment horizontal="right" wrapText="1"/>
    </xf>
    <xf numFmtId="0" fontId="35" fillId="14" borderId="4" xfId="0" applyFont="1" applyFill="1" applyBorder="1" applyAlignment="1">
      <alignment wrapText="1"/>
    </xf>
    <xf numFmtId="0" fontId="36" fillId="14" borderId="4" xfId="0" applyFont="1" applyFill="1" applyBorder="1" applyAlignment="1">
      <alignment wrapText="1"/>
    </xf>
    <xf numFmtId="0" fontId="37" fillId="14" borderId="4" xfId="0" applyFont="1" applyFill="1" applyBorder="1" applyAlignment="1">
      <alignment horizontal="right" wrapText="1"/>
    </xf>
    <xf numFmtId="0" fontId="44" fillId="14" borderId="4" xfId="10" applyFill="1" applyBorder="1" applyAlignment="1">
      <alignment wrapText="1"/>
    </xf>
    <xf numFmtId="0" fontId="38" fillId="14" borderId="4" xfId="0" applyFont="1" applyFill="1" applyBorder="1" applyAlignment="1">
      <alignment horizontal="right" wrapText="1"/>
    </xf>
    <xf numFmtId="0" fontId="38" fillId="14" borderId="4" xfId="0" applyFont="1" applyFill="1" applyBorder="1" applyAlignment="1">
      <alignment wrapText="1"/>
    </xf>
    <xf numFmtId="0" fontId="39" fillId="14" borderId="4" xfId="0" applyFont="1" applyFill="1" applyBorder="1" applyAlignment="1">
      <alignment horizontal="right" wrapText="1"/>
    </xf>
    <xf numFmtId="0" fontId="39" fillId="14" borderId="4" xfId="0" applyFont="1" applyFill="1" applyBorder="1" applyAlignment="1">
      <alignment wrapText="1"/>
    </xf>
    <xf numFmtId="0" fontId="40" fillId="14" borderId="4" xfId="0" applyFont="1" applyFill="1" applyBorder="1" applyAlignment="1">
      <alignment horizontal="right" wrapText="1"/>
    </xf>
    <xf numFmtId="0" fontId="40" fillId="14" borderId="4" xfId="0" applyFont="1" applyFill="1" applyBorder="1" applyAlignment="1">
      <alignment wrapText="1"/>
    </xf>
    <xf numFmtId="0" fontId="22" fillId="15" borderId="4" xfId="0" applyFont="1" applyFill="1" applyBorder="1" applyAlignment="1">
      <alignment wrapText="1"/>
    </xf>
    <xf numFmtId="0" fontId="23" fillId="15" borderId="4" xfId="0" applyFont="1" applyFill="1" applyBorder="1" applyAlignment="1">
      <alignment horizontal="right" wrapText="1"/>
    </xf>
    <xf numFmtId="0" fontId="29" fillId="15" borderId="4" xfId="0" applyFont="1" applyFill="1" applyBorder="1" applyAlignment="1">
      <alignment horizontal="right" wrapText="1"/>
    </xf>
    <xf numFmtId="0" fontId="41" fillId="14" borderId="4" xfId="0" applyFont="1" applyFill="1" applyBorder="1" applyAlignment="1">
      <alignment horizontal="right" wrapText="1"/>
    </xf>
    <xf numFmtId="0" fontId="42" fillId="14" borderId="4" xfId="0" applyFont="1" applyFill="1" applyBorder="1" applyAlignment="1">
      <alignment horizontal="right" wrapText="1"/>
    </xf>
    <xf numFmtId="0" fontId="21" fillId="13" borderId="4" xfId="0" applyFont="1" applyFill="1" applyBorder="1" applyAlignment="1">
      <alignment horizontal="center" wrapText="1"/>
    </xf>
    <xf numFmtId="0" fontId="43" fillId="0" borderId="4" xfId="0" applyFont="1" applyBorder="1" applyAlignment="1">
      <alignment wrapText="1"/>
    </xf>
    <xf numFmtId="0" fontId="43" fillId="14" borderId="4" xfId="0" applyFont="1" applyFill="1" applyBorder="1" applyAlignment="1">
      <alignment wrapText="1"/>
    </xf>
    <xf numFmtId="0" fontId="35" fillId="14" borderId="4" xfId="0" applyFont="1" applyFill="1" applyBorder="1" applyAlignment="1">
      <alignment horizontal="left" wrapText="1" indent="13"/>
    </xf>
    <xf numFmtId="0" fontId="22" fillId="14" borderId="4" xfId="0" applyFont="1" applyFill="1" applyBorder="1" applyAlignment="1">
      <alignment horizontal="left" wrapText="1" indent="13"/>
    </xf>
    <xf numFmtId="0" fontId="0" fillId="0" borderId="0" xfId="0" applyAlignment="1">
      <alignment horizontal="left" indent="13"/>
    </xf>
    <xf numFmtId="0" fontId="43" fillId="14" borderId="4" xfId="0" applyFont="1" applyFill="1" applyBorder="1" applyAlignment="1">
      <alignment horizontal="right" wrapText="1"/>
    </xf>
    <xf numFmtId="11" fontId="45" fillId="0" borderId="0" xfId="0" applyNumberFormat="1" applyFont="1"/>
    <xf numFmtId="0" fontId="46" fillId="16" borderId="0" xfId="0" applyFont="1" applyFill="1"/>
    <xf numFmtId="0" fontId="47" fillId="16" borderId="0" xfId="0" applyFont="1" applyFill="1"/>
    <xf numFmtId="0" fontId="48" fillId="16" borderId="0" xfId="0" applyFont="1" applyFill="1"/>
    <xf numFmtId="0" fontId="49" fillId="17" borderId="0" xfId="0" applyFont="1" applyFill="1"/>
    <xf numFmtId="0" fontId="50" fillId="17" borderId="0" xfId="0" applyFont="1" applyFill="1"/>
    <xf numFmtId="0" fontId="48" fillId="17" borderId="0" xfId="0" applyFont="1" applyFill="1"/>
    <xf numFmtId="0" fontId="51" fillId="17" borderId="0" xfId="0" applyFont="1" applyFill="1"/>
    <xf numFmtId="0" fontId="52" fillId="17" borderId="0" xfId="0" applyFont="1" applyFill="1"/>
    <xf numFmtId="0" fontId="53" fillId="17" borderId="0" xfId="0" applyFont="1" applyFill="1"/>
    <xf numFmtId="9" fontId="49" fillId="17" borderId="0" xfId="0" applyNumberFormat="1" applyFont="1" applyFill="1"/>
    <xf numFmtId="168" fontId="49" fillId="17" borderId="0" xfId="0" applyNumberFormat="1" applyFont="1" applyFill="1" applyAlignment="1">
      <alignment horizontal="right"/>
    </xf>
    <xf numFmtId="0" fontId="55" fillId="0" borderId="0" xfId="0" applyFont="1"/>
    <xf numFmtId="1" fontId="0" fillId="0" borderId="0" xfId="0" applyNumberFormat="1"/>
    <xf numFmtId="0" fontId="0" fillId="0" borderId="0" xfId="0" applyAlignment="1">
      <alignment horizontal="left" indent="5"/>
    </xf>
    <xf numFmtId="164" fontId="0" fillId="0" borderId="0" xfId="0" applyNumberFormat="1"/>
    <xf numFmtId="1" fontId="48" fillId="17" borderId="0" xfId="0" applyNumberFormat="1" applyFont="1" applyFill="1"/>
    <xf numFmtId="0" fontId="49" fillId="17" borderId="5" xfId="0" applyFont="1" applyFill="1" applyBorder="1"/>
    <xf numFmtId="168" fontId="49" fillId="17" borderId="6" xfId="0" applyNumberFormat="1" applyFont="1" applyFill="1" applyBorder="1"/>
    <xf numFmtId="0" fontId="49" fillId="17" borderId="7" xfId="0" applyFont="1" applyFill="1" applyBorder="1"/>
    <xf numFmtId="1" fontId="49" fillId="17" borderId="0" xfId="0" applyNumberFormat="1" applyFont="1" applyFill="1"/>
    <xf numFmtId="169" fontId="49" fillId="17" borderId="0" xfId="0" applyNumberFormat="1" applyFont="1" applyFill="1"/>
    <xf numFmtId="1" fontId="46" fillId="16" borderId="0" xfId="0" applyNumberFormat="1" applyFont="1" applyFill="1"/>
    <xf numFmtId="0" fontId="59" fillId="16" borderId="0" xfId="0" applyFont="1" applyFill="1"/>
    <xf numFmtId="1" fontId="46" fillId="18" borderId="0" xfId="0" applyNumberFormat="1" applyFont="1" applyFill="1"/>
    <xf numFmtId="0" fontId="59" fillId="18" borderId="0" xfId="0" applyFont="1" applyFill="1"/>
    <xf numFmtId="1" fontId="48" fillId="16" borderId="0" xfId="0" applyNumberFormat="1" applyFont="1" applyFill="1"/>
    <xf numFmtId="1" fontId="49" fillId="16" borderId="0" xfId="0" applyNumberFormat="1" applyFont="1" applyFill="1"/>
    <xf numFmtId="1" fontId="60" fillId="17" borderId="0" xfId="0" applyNumberFormat="1" applyFont="1" applyFill="1" applyAlignment="1">
      <alignment horizontal="center"/>
    </xf>
    <xf numFmtId="0" fontId="61" fillId="16" borderId="0" xfId="0" applyFont="1" applyFill="1"/>
    <xf numFmtId="9" fontId="48" fillId="17" borderId="0" xfId="0" applyNumberFormat="1" applyFont="1" applyFill="1"/>
    <xf numFmtId="2" fontId="49" fillId="17" borderId="0" xfId="0" applyNumberFormat="1" applyFont="1" applyFill="1"/>
    <xf numFmtId="0" fontId="46" fillId="17" borderId="0" xfId="0" applyFont="1" applyFill="1"/>
    <xf numFmtId="0" fontId="66" fillId="17" borderId="0" xfId="0" applyFont="1" applyFill="1"/>
    <xf numFmtId="0" fontId="61" fillId="17" borderId="0" xfId="0" applyFont="1" applyFill="1"/>
    <xf numFmtId="0" fontId="17" fillId="17" borderId="0" xfId="0" applyFont="1" applyFill="1"/>
    <xf numFmtId="0" fontId="68" fillId="17" borderId="0" xfId="0" applyFont="1" applyFill="1"/>
    <xf numFmtId="0" fontId="69" fillId="17" borderId="0" xfId="0" applyFont="1" applyFill="1"/>
    <xf numFmtId="0" fontId="70" fillId="17" borderId="0" xfId="0" applyFont="1" applyFill="1"/>
    <xf numFmtId="0" fontId="71" fillId="17" borderId="0" xfId="0" applyFont="1" applyFill="1"/>
    <xf numFmtId="0" fontId="72" fillId="17" borderId="0" xfId="0" applyFont="1" applyFill="1"/>
    <xf numFmtId="0" fontId="60" fillId="17" borderId="0" xfId="0" applyFont="1" applyFill="1"/>
    <xf numFmtId="0" fontId="58" fillId="17" borderId="0" xfId="0" applyFont="1" applyFill="1"/>
    <xf numFmtId="168" fontId="49" fillId="17" borderId="0" xfId="0" applyNumberFormat="1" applyFont="1" applyFill="1"/>
    <xf numFmtId="0" fontId="59" fillId="17" borderId="0" xfId="0" applyFont="1" applyFill="1"/>
    <xf numFmtId="168" fontId="59" fillId="17" borderId="0" xfId="0" applyNumberFormat="1" applyFont="1" applyFill="1"/>
    <xf numFmtId="0" fontId="63" fillId="17" borderId="0" xfId="0" applyFont="1" applyFill="1"/>
    <xf numFmtId="0" fontId="64" fillId="17" borderId="0" xfId="0" applyFont="1" applyFill="1"/>
    <xf numFmtId="168" fontId="64" fillId="17" borderId="0" xfId="0" applyNumberFormat="1" applyFont="1" applyFill="1"/>
    <xf numFmtId="0" fontId="74" fillId="17" borderId="0" xfId="0" applyFont="1" applyFill="1" applyAlignment="1">
      <alignment horizontal="left"/>
    </xf>
    <xf numFmtId="0" fontId="74" fillId="17" borderId="0" xfId="0" applyFont="1" applyFill="1"/>
    <xf numFmtId="168" fontId="74" fillId="17" borderId="0" xfId="0" applyNumberFormat="1" applyFont="1" applyFill="1"/>
    <xf numFmtId="0" fontId="56" fillId="17" borderId="0" xfId="0" applyFont="1" applyFill="1" applyAlignment="1">
      <alignment horizontal="right"/>
    </xf>
    <xf numFmtId="0" fontId="57" fillId="17" borderId="0" xfId="0" applyFont="1" applyFill="1"/>
    <xf numFmtId="168" fontId="57" fillId="17" borderId="0" xfId="0" applyNumberFormat="1" applyFont="1" applyFill="1"/>
    <xf numFmtId="168" fontId="75" fillId="17" borderId="0" xfId="0" applyNumberFormat="1" applyFont="1" applyFill="1"/>
    <xf numFmtId="168" fontId="63" fillId="17" borderId="0" xfId="0" applyNumberFormat="1" applyFont="1" applyFill="1"/>
    <xf numFmtId="2" fontId="59" fillId="17" borderId="0" xfId="0" applyNumberFormat="1" applyFont="1" applyFill="1"/>
    <xf numFmtId="0" fontId="65" fillId="17" borderId="0" xfId="0" applyFont="1" applyFill="1"/>
    <xf numFmtId="0" fontId="62" fillId="17" borderId="0" xfId="0" applyFont="1" applyFill="1"/>
    <xf numFmtId="168" fontId="62" fillId="17" borderId="0" xfId="0" applyNumberFormat="1" applyFont="1" applyFill="1"/>
    <xf numFmtId="0" fontId="76" fillId="17" borderId="0" xfId="0" applyFont="1" applyFill="1"/>
    <xf numFmtId="2" fontId="57" fillId="17" borderId="0" xfId="0" applyNumberFormat="1" applyFont="1" applyFill="1"/>
    <xf numFmtId="2" fontId="64" fillId="17" borderId="0" xfId="0" applyNumberFormat="1" applyFont="1" applyFill="1"/>
    <xf numFmtId="1" fontId="58" fillId="17" borderId="0" xfId="0" applyNumberFormat="1" applyFont="1" applyFill="1"/>
    <xf numFmtId="1" fontId="65" fillId="17" borderId="0" xfId="0" applyNumberFormat="1" applyFont="1" applyFill="1"/>
    <xf numFmtId="1" fontId="56" fillId="17" borderId="0" xfId="0" applyNumberFormat="1" applyFont="1" applyFill="1" applyAlignment="1">
      <alignment horizontal="right"/>
    </xf>
    <xf numFmtId="1" fontId="59" fillId="17" borderId="0" xfId="0" applyNumberFormat="1" applyFont="1" applyFill="1"/>
    <xf numFmtId="4" fontId="46" fillId="16" borderId="0" xfId="0" applyNumberFormat="1" applyFont="1" applyFill="1"/>
    <xf numFmtId="4" fontId="50" fillId="16" borderId="0" xfId="0" applyNumberFormat="1" applyFont="1" applyFill="1"/>
    <xf numFmtId="4" fontId="49" fillId="16" borderId="0" xfId="0" applyNumberFormat="1" applyFont="1" applyFill="1"/>
    <xf numFmtId="0" fontId="75" fillId="17" borderId="0" xfId="0" applyFont="1" applyFill="1"/>
    <xf numFmtId="2" fontId="49" fillId="17" borderId="0" xfId="0" applyNumberFormat="1" applyFont="1" applyFill="1" applyAlignment="1">
      <alignment horizontal="right"/>
    </xf>
    <xf numFmtId="9" fontId="49" fillId="17" borderId="0" xfId="0" applyNumberFormat="1" applyFont="1" applyFill="1" applyAlignment="1">
      <alignment horizontal="right"/>
    </xf>
    <xf numFmtId="0" fontId="75" fillId="16" borderId="0" xfId="0" applyFont="1" applyFill="1"/>
    <xf numFmtId="0" fontId="51" fillId="16" borderId="0" xfId="0" applyFont="1" applyFill="1"/>
    <xf numFmtId="9" fontId="49" fillId="16" borderId="0" xfId="0" applyNumberFormat="1" applyFont="1" applyFill="1" applyAlignment="1">
      <alignment horizontal="right"/>
    </xf>
    <xf numFmtId="4" fontId="49" fillId="17" borderId="0" xfId="0" applyNumberFormat="1" applyFont="1" applyFill="1"/>
    <xf numFmtId="0" fontId="46" fillId="18" borderId="0" xfId="0" applyFont="1" applyFill="1"/>
    <xf numFmtId="0" fontId="47" fillId="18" borderId="0" xfId="0" applyFont="1" applyFill="1"/>
    <xf numFmtId="4" fontId="59" fillId="17" borderId="0" xfId="0" applyNumberFormat="1" applyFont="1" applyFill="1"/>
    <xf numFmtId="164" fontId="59" fillId="17" borderId="0" xfId="0" applyNumberFormat="1" applyFont="1" applyFill="1"/>
    <xf numFmtId="0" fontId="56" fillId="17" borderId="0" xfId="0" applyFont="1" applyFill="1"/>
    <xf numFmtId="2" fontId="48" fillId="17" borderId="0" xfId="0" applyNumberFormat="1" applyFont="1" applyFill="1"/>
    <xf numFmtId="2" fontId="17" fillId="17" borderId="0" xfId="0" applyNumberFormat="1" applyFont="1" applyFill="1"/>
    <xf numFmtId="164" fontId="48" fillId="17" borderId="0" xfId="0" applyNumberFormat="1" applyFont="1" applyFill="1"/>
    <xf numFmtId="0" fontId="77" fillId="17" borderId="0" xfId="0" applyFont="1" applyFill="1"/>
    <xf numFmtId="0" fontId="78" fillId="0" borderId="0" xfId="0" applyFont="1"/>
    <xf numFmtId="1" fontId="79" fillId="17" borderId="0" xfId="0" applyNumberFormat="1" applyFont="1" applyFill="1" applyAlignment="1">
      <alignment horizontal="right"/>
    </xf>
    <xf numFmtId="0" fontId="39" fillId="17" borderId="0" xfId="0" applyFont="1" applyFill="1"/>
    <xf numFmtId="0" fontId="46" fillId="19" borderId="0" xfId="0" applyFont="1" applyFill="1"/>
    <xf numFmtId="0" fontId="66" fillId="19" borderId="0" xfId="0" applyFont="1" applyFill="1"/>
    <xf numFmtId="0" fontId="61" fillId="19" borderId="0" xfId="0" applyFont="1" applyFill="1"/>
    <xf numFmtId="1" fontId="48" fillId="17" borderId="0" xfId="0" applyNumberFormat="1" applyFont="1" applyFill="1" applyAlignment="1">
      <alignment horizontal="right"/>
    </xf>
    <xf numFmtId="0" fontId="80" fillId="17" borderId="0" xfId="0" applyFont="1" applyFill="1"/>
    <xf numFmtId="168" fontId="64" fillId="17" borderId="0" xfId="0" applyNumberFormat="1" applyFont="1" applyFill="1" applyAlignment="1">
      <alignment horizontal="right"/>
    </xf>
    <xf numFmtId="1" fontId="49" fillId="17" borderId="0" xfId="0" applyNumberFormat="1" applyFont="1" applyFill="1" applyAlignment="1">
      <alignment horizontal="right"/>
    </xf>
    <xf numFmtId="168" fontId="62" fillId="17" borderId="0" xfId="0" applyNumberFormat="1" applyFont="1" applyFill="1" applyAlignment="1">
      <alignment horizontal="right"/>
    </xf>
    <xf numFmtId="2" fontId="48" fillId="17" borderId="0" xfId="0" applyNumberFormat="1" applyFont="1" applyFill="1" applyAlignment="1">
      <alignment horizontal="right"/>
    </xf>
    <xf numFmtId="0" fontId="67" fillId="17" borderId="0" xfId="0" applyFont="1" applyFill="1" applyAlignment="1">
      <alignment horizontal="right"/>
    </xf>
    <xf numFmtId="2" fontId="60" fillId="17" borderId="0" xfId="0" applyNumberFormat="1" applyFont="1" applyFill="1"/>
    <xf numFmtId="2" fontId="72" fillId="17" borderId="0" xfId="0" applyNumberFormat="1" applyFont="1" applyFill="1"/>
    <xf numFmtId="0" fontId="81" fillId="17" borderId="0" xfId="0" applyFont="1" applyFill="1"/>
    <xf numFmtId="0" fontId="46" fillId="20" borderId="0" xfId="0" applyFont="1" applyFill="1"/>
    <xf numFmtId="0" fontId="66" fillId="20" borderId="0" xfId="0" applyFont="1" applyFill="1"/>
    <xf numFmtId="0" fontId="61" fillId="20" borderId="0" xfId="0" applyFont="1" applyFill="1"/>
    <xf numFmtId="0" fontId="66" fillId="18" borderId="0" xfId="0" applyFont="1" applyFill="1"/>
    <xf numFmtId="0" fontId="61" fillId="18" borderId="0" xfId="0" applyFont="1" applyFill="1"/>
    <xf numFmtId="168" fontId="82" fillId="17" borderId="0" xfId="0" applyNumberFormat="1" applyFont="1" applyFill="1"/>
    <xf numFmtId="0" fontId="48" fillId="20" borderId="0" xfId="0" applyFont="1" applyFill="1"/>
    <xf numFmtId="1" fontId="1" fillId="0" borderId="0" xfId="0" applyNumberFormat="1" applyFont="1"/>
    <xf numFmtId="0" fontId="0" fillId="21" borderId="0" xfId="0" applyFill="1"/>
    <xf numFmtId="0" fontId="83" fillId="18" borderId="0" xfId="0" applyFont="1" applyFill="1"/>
    <xf numFmtId="0" fontId="84" fillId="18" borderId="0" xfId="0" applyFont="1" applyFill="1"/>
    <xf numFmtId="168" fontId="85" fillId="17" borderId="0" xfId="0" applyNumberFormat="1" applyFont="1" applyFill="1"/>
    <xf numFmtId="168" fontId="17" fillId="17" borderId="0" xfId="0" applyNumberFormat="1" applyFont="1" applyFill="1"/>
    <xf numFmtId="168" fontId="86" fillId="17" borderId="0" xfId="0" applyNumberFormat="1" applyFont="1" applyFill="1"/>
    <xf numFmtId="1" fontId="86" fillId="17" borderId="0" xfId="0" applyNumberFormat="1" applyFont="1" applyFill="1"/>
    <xf numFmtId="1" fontId="17" fillId="17" borderId="0" xfId="0" applyNumberFormat="1" applyFont="1" applyFill="1"/>
    <xf numFmtId="0" fontId="86" fillId="17" borderId="0" xfId="0" applyFont="1" applyFill="1"/>
    <xf numFmtId="0" fontId="85" fillId="17" borderId="0" xfId="0" applyFont="1" applyFill="1"/>
    <xf numFmtId="0" fontId="87" fillId="17" borderId="0" xfId="0" applyFont="1" applyFill="1"/>
    <xf numFmtId="0" fontId="88" fillId="17" borderId="0" xfId="0" applyFont="1" applyFill="1"/>
    <xf numFmtId="2" fontId="88" fillId="17" borderId="0" xfId="0" applyNumberFormat="1" applyFont="1" applyFill="1"/>
    <xf numFmtId="9" fontId="86" fillId="17" borderId="0" xfId="0" applyNumberFormat="1" applyFont="1" applyFill="1"/>
    <xf numFmtId="9" fontId="17" fillId="17" borderId="0" xfId="0" applyNumberFormat="1" applyFont="1" applyFill="1"/>
    <xf numFmtId="0" fontId="89" fillId="17" borderId="0" xfId="0" applyFont="1" applyFill="1"/>
    <xf numFmtId="169" fontId="90" fillId="17" borderId="0" xfId="0" applyNumberFormat="1" applyFont="1" applyFill="1"/>
    <xf numFmtId="9" fontId="81" fillId="17" borderId="0" xfId="0" applyNumberFormat="1" applyFont="1" applyFill="1"/>
    <xf numFmtId="2" fontId="81" fillId="17" borderId="0" xfId="0" applyNumberFormat="1" applyFont="1" applyFill="1"/>
    <xf numFmtId="0" fontId="86" fillId="17" borderId="0" xfId="0" applyFont="1" applyFill="1" applyAlignment="1">
      <alignment horizontal="right"/>
    </xf>
    <xf numFmtId="0" fontId="88" fillId="17" borderId="0" xfId="0" applyFont="1" applyFill="1" applyAlignment="1">
      <alignment horizontal="right"/>
    </xf>
    <xf numFmtId="1" fontId="88" fillId="17" borderId="0" xfId="0" applyNumberFormat="1" applyFont="1" applyFill="1"/>
    <xf numFmtId="1" fontId="87" fillId="17" borderId="0" xfId="0" applyNumberFormat="1" applyFont="1" applyFill="1"/>
    <xf numFmtId="168" fontId="87" fillId="17" borderId="0" xfId="0" applyNumberFormat="1" applyFont="1" applyFill="1"/>
    <xf numFmtId="0" fontId="91" fillId="17" borderId="0" xfId="0" applyFont="1" applyFill="1"/>
    <xf numFmtId="9" fontId="87" fillId="17" borderId="0" xfId="0" applyNumberFormat="1" applyFont="1" applyFill="1"/>
    <xf numFmtId="0" fontId="92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0" fontId="50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2" fontId="58" fillId="17" borderId="0" xfId="0" applyNumberFormat="1" applyFont="1" applyFill="1"/>
    <xf numFmtId="0" fontId="94" fillId="19" borderId="8" xfId="0" applyFont="1" applyFill="1" applyBorder="1"/>
    <xf numFmtId="0" fontId="61" fillId="19" borderId="9" xfId="0" applyFont="1" applyFill="1" applyBorder="1"/>
    <xf numFmtId="0" fontId="61" fillId="19" borderId="10" xfId="0" applyFont="1" applyFill="1" applyBorder="1"/>
    <xf numFmtId="0" fontId="94" fillId="19" borderId="0" xfId="0" applyFont="1" applyFill="1"/>
    <xf numFmtId="0" fontId="48" fillId="17" borderId="11" xfId="0" applyFont="1" applyFill="1" applyBorder="1"/>
    <xf numFmtId="0" fontId="48" fillId="17" borderId="12" xfId="0" applyFont="1" applyFill="1" applyBorder="1"/>
    <xf numFmtId="0" fontId="48" fillId="17" borderId="8" xfId="0" applyFont="1" applyFill="1" applyBorder="1"/>
    <xf numFmtId="2" fontId="48" fillId="17" borderId="9" xfId="0" applyNumberFormat="1" applyFont="1" applyFill="1" applyBorder="1"/>
    <xf numFmtId="0" fontId="48" fillId="17" borderId="10" xfId="0" applyFont="1" applyFill="1" applyBorder="1"/>
    <xf numFmtId="0" fontId="48" fillId="17" borderId="9" xfId="0" applyFont="1" applyFill="1" applyBorder="1"/>
    <xf numFmtId="0" fontId="49" fillId="17" borderId="9" xfId="0" applyFont="1" applyFill="1" applyBorder="1" applyAlignment="1">
      <alignment horizontal="right"/>
    </xf>
    <xf numFmtId="170" fontId="48" fillId="17" borderId="9" xfId="0" applyNumberFormat="1" applyFont="1" applyFill="1" applyBorder="1"/>
    <xf numFmtId="1" fontId="48" fillId="17" borderId="9" xfId="0" applyNumberFormat="1" applyFont="1" applyFill="1" applyBorder="1"/>
    <xf numFmtId="0" fontId="48" fillId="17" borderId="5" xfId="0" applyFont="1" applyFill="1" applyBorder="1"/>
    <xf numFmtId="2" fontId="48" fillId="17" borderId="6" xfId="0" applyNumberFormat="1" applyFont="1" applyFill="1" applyBorder="1"/>
    <xf numFmtId="0" fontId="48" fillId="17" borderId="7" xfId="0" applyFont="1" applyFill="1" applyBorder="1"/>
    <xf numFmtId="0" fontId="49" fillId="17" borderId="0" xfId="0" applyFont="1" applyFill="1" applyAlignment="1">
      <alignment horizontal="right"/>
    </xf>
    <xf numFmtId="170" fontId="48" fillId="17" borderId="0" xfId="0" applyNumberFormat="1" applyFont="1" applyFill="1"/>
    <xf numFmtId="1" fontId="48" fillId="17" borderId="6" xfId="0" applyNumberFormat="1" applyFont="1" applyFill="1" applyBorder="1"/>
    <xf numFmtId="168" fontId="48" fillId="17" borderId="0" xfId="0" applyNumberFormat="1" applyFont="1" applyFill="1"/>
    <xf numFmtId="0" fontId="49" fillId="17" borderId="11" xfId="0" applyFont="1" applyFill="1" applyBorder="1"/>
    <xf numFmtId="170" fontId="49" fillId="17" borderId="0" xfId="0" applyNumberFormat="1" applyFont="1" applyFill="1"/>
    <xf numFmtId="0" fontId="48" fillId="17" borderId="6" xfId="0" applyFont="1" applyFill="1" applyBorder="1"/>
    <xf numFmtId="0" fontId="49" fillId="17" borderId="12" xfId="0" applyFont="1" applyFill="1" applyBorder="1"/>
    <xf numFmtId="170" fontId="49" fillId="17" borderId="6" xfId="0" applyNumberFormat="1" applyFont="1" applyFill="1" applyBorder="1"/>
    <xf numFmtId="4" fontId="48" fillId="17" borderId="0" xfId="0" applyNumberFormat="1" applyFont="1" applyFill="1" applyAlignment="1">
      <alignment horizontal="right"/>
    </xf>
    <xf numFmtId="0" fontId="49" fillId="17" borderId="8" xfId="0" applyFont="1" applyFill="1" applyBorder="1"/>
    <xf numFmtId="168" fontId="49" fillId="17" borderId="9" xfId="0" applyNumberFormat="1" applyFont="1" applyFill="1" applyBorder="1"/>
    <xf numFmtId="0" fontId="49" fillId="17" borderId="10" xfId="0" applyFont="1" applyFill="1" applyBorder="1"/>
    <xf numFmtId="164" fontId="48" fillId="17" borderId="9" xfId="0" applyNumberFormat="1" applyFont="1" applyFill="1" applyBorder="1"/>
    <xf numFmtId="9" fontId="48" fillId="17" borderId="9" xfId="0" applyNumberFormat="1" applyFont="1" applyFill="1" applyBorder="1" applyAlignment="1">
      <alignment horizontal="right"/>
    </xf>
    <xf numFmtId="9" fontId="48" fillId="17" borderId="6" xfId="0" applyNumberFormat="1" applyFont="1" applyFill="1" applyBorder="1" applyAlignment="1">
      <alignment horizontal="right"/>
    </xf>
    <xf numFmtId="0" fontId="48" fillId="17" borderId="8" xfId="0" applyFont="1" applyFill="1" applyBorder="1" applyAlignment="1">
      <alignment horizontal="left"/>
    </xf>
    <xf numFmtId="0" fontId="48" fillId="17" borderId="11" xfId="0" applyFont="1" applyFill="1" applyBorder="1" applyAlignment="1">
      <alignment horizontal="left"/>
    </xf>
    <xf numFmtId="164" fontId="48" fillId="17" borderId="6" xfId="0" applyNumberFormat="1" applyFont="1" applyFill="1" applyBorder="1"/>
    <xf numFmtId="0" fontId="48" fillId="17" borderId="13" xfId="0" applyFont="1" applyFill="1" applyBorder="1"/>
    <xf numFmtId="2" fontId="48" fillId="17" borderId="14" xfId="0" applyNumberFormat="1" applyFont="1" applyFill="1" applyBorder="1"/>
    <xf numFmtId="0" fontId="48" fillId="17" borderId="15" xfId="0" applyFont="1" applyFill="1" applyBorder="1"/>
    <xf numFmtId="0" fontId="58" fillId="0" borderId="0" xfId="0" applyFont="1"/>
    <xf numFmtId="0" fontId="95" fillId="17" borderId="0" xfId="0" applyFont="1" applyFill="1"/>
    <xf numFmtId="0" fontId="96" fillId="17" borderId="0" xfId="0" applyFont="1" applyFill="1"/>
    <xf numFmtId="168" fontId="0" fillId="0" borderId="0" xfId="0" applyNumberFormat="1"/>
    <xf numFmtId="0" fontId="48" fillId="17" borderId="0" xfId="0" applyFont="1" applyFill="1" applyAlignment="1">
      <alignment horizontal="left"/>
    </xf>
    <xf numFmtId="2" fontId="48" fillId="0" borderId="0" xfId="0" applyNumberFormat="1" applyFont="1"/>
    <xf numFmtId="0" fontId="48" fillId="0" borderId="8" xfId="0" applyFont="1" applyBorder="1"/>
    <xf numFmtId="2" fontId="48" fillId="0" borderId="9" xfId="0" applyNumberFormat="1" applyFont="1" applyBorder="1"/>
    <xf numFmtId="0" fontId="48" fillId="0" borderId="10" xfId="0" applyFont="1" applyBorder="1"/>
    <xf numFmtId="0" fontId="48" fillId="0" borderId="11" xfId="0" applyFont="1" applyBorder="1"/>
    <xf numFmtId="0" fontId="48" fillId="0" borderId="12" xfId="0" applyFont="1" applyBorder="1"/>
    <xf numFmtId="0" fontId="48" fillId="0" borderId="5" xfId="0" applyFont="1" applyBorder="1"/>
    <xf numFmtId="2" fontId="48" fillId="0" borderId="6" xfId="0" applyNumberFormat="1" applyFont="1" applyBorder="1"/>
    <xf numFmtId="0" fontId="48" fillId="0" borderId="7" xfId="0" applyFont="1" applyBorder="1"/>
    <xf numFmtId="0" fontId="48" fillId="0" borderId="13" xfId="0" applyFont="1" applyBorder="1"/>
    <xf numFmtId="2" fontId="48" fillId="0" borderId="14" xfId="0" applyNumberFormat="1" applyFont="1" applyBorder="1"/>
    <xf numFmtId="0" fontId="48" fillId="0" borderId="15" xfId="0" applyFont="1" applyBorder="1"/>
    <xf numFmtId="0" fontId="95" fillId="0" borderId="0" xfId="0" applyFont="1"/>
    <xf numFmtId="0" fontId="23" fillId="17" borderId="0" xfId="0" applyFont="1" applyFill="1"/>
    <xf numFmtId="0" fontId="97" fillId="22" borderId="0" xfId="0" applyFont="1" applyFill="1"/>
    <xf numFmtId="0" fontId="46" fillId="23" borderId="0" xfId="0" applyFont="1" applyFill="1"/>
    <xf numFmtId="0" fontId="73" fillId="23" borderId="0" xfId="0" applyFont="1" applyFill="1"/>
    <xf numFmtId="0" fontId="49" fillId="23" borderId="0" xfId="0" applyFont="1" applyFill="1"/>
    <xf numFmtId="0" fontId="46" fillId="24" borderId="0" xfId="0" applyFont="1" applyFill="1"/>
    <xf numFmtId="0" fontId="46" fillId="25" borderId="0" xfId="0" applyFont="1" applyFill="1"/>
    <xf numFmtId="0" fontId="66" fillId="25" borderId="0" xfId="0" applyFont="1" applyFill="1"/>
    <xf numFmtId="0" fontId="61" fillId="25" borderId="0" xfId="0" applyFont="1" applyFill="1"/>
    <xf numFmtId="0" fontId="69" fillId="25" borderId="0" xfId="0" applyFont="1" applyFill="1"/>
    <xf numFmtId="0" fontId="17" fillId="25" borderId="0" xfId="0" applyFont="1" applyFill="1"/>
    <xf numFmtId="0" fontId="98" fillId="17" borderId="0" xfId="0" applyFont="1" applyFill="1"/>
    <xf numFmtId="0" fontId="99" fillId="0" borderId="0" xfId="0" applyFont="1"/>
    <xf numFmtId="0" fontId="100" fillId="14" borderId="0" xfId="0" applyFont="1" applyFill="1" applyAlignment="1">
      <alignment horizontal="left" vertical="center" wrapText="1"/>
    </xf>
    <xf numFmtId="0" fontId="101" fillId="14" borderId="0" xfId="0" applyFont="1" applyFill="1" applyAlignment="1">
      <alignment horizontal="left" vertical="center" wrapText="1"/>
    </xf>
    <xf numFmtId="0" fontId="44" fillId="0" borderId="0" xfId="10"/>
    <xf numFmtId="170" fontId="57" fillId="17" borderId="0" xfId="0" applyNumberFormat="1" applyFont="1" applyFill="1"/>
    <xf numFmtId="171" fontId="57" fillId="17" borderId="0" xfId="0" applyNumberFormat="1" applyFont="1" applyFill="1"/>
    <xf numFmtId="0" fontId="0" fillId="26" borderId="0" xfId="0" applyFill="1"/>
    <xf numFmtId="0" fontId="0" fillId="27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0" borderId="0" xfId="7" applyFont="1" applyFill="1" applyBorder="1" applyAlignment="1">
      <alignment horizontal="center"/>
    </xf>
    <xf numFmtId="0" fontId="93" fillId="17" borderId="0" xfId="0" applyFont="1" applyFill="1"/>
    <xf numFmtId="0" fontId="0" fillId="0" borderId="0" xfId="0"/>
    <xf numFmtId="0" fontId="46" fillId="19" borderId="0" xfId="0" applyFont="1" applyFill="1"/>
    <xf numFmtId="0" fontId="46" fillId="0" borderId="0" xfId="0" applyFont="1"/>
    <xf numFmtId="0" fontId="0" fillId="0" borderId="0" xfId="0" applyAlignment="1">
      <alignment horizontal="center"/>
    </xf>
  </cellXfs>
  <cellStyles count="11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10" builtinId="8"/>
    <cellStyle name="Neutral" xfId="3" builtinId="28"/>
    <cellStyle name="Normal" xfId="0" builtinId="0"/>
    <cellStyle name="Normal 3" xfId="9" xr:uid="{00000000-0005-0000-0000-000009000000}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colors>
    <mruColors>
      <color rgb="FF72BD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3D2-4A47-889F-CA13F9E8A60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3D2-4A47-889F-CA13F9E8A60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3D2-4A47-889F-CA13F9E8A60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3D2-4A47-889F-CA13F9E8A60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3D2-4A47-889F-CA13F9E8A60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3D2-4A47-889F-CA13F9E8A60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3D2-4A47-889F-CA13F9E8A6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expenses_full_fuel_HTL_Up!$I$16:$I$22</c:f>
              <c:strCache>
                <c:ptCount val="7"/>
                <c:pt idx="0">
                  <c:v>Total Purchased Equipment Cost</c:v>
                </c:pt>
                <c:pt idx="1">
                  <c:v>Installation Costs</c:v>
                </c:pt>
                <c:pt idx="2">
                  <c:v>Indirect Costs</c:v>
                </c:pt>
                <c:pt idx="3">
                  <c:v>Contractor's Fee</c:v>
                </c:pt>
                <c:pt idx="4">
                  <c:v>Contingency</c:v>
                </c:pt>
                <c:pt idx="5">
                  <c:v>Working Capital</c:v>
                </c:pt>
                <c:pt idx="6">
                  <c:v>Start-up Costs</c:v>
                </c:pt>
              </c:strCache>
            </c:strRef>
          </c:cat>
          <c:val>
            <c:numRef>
              <c:f>expenses_full_fuel_HTL_Up!$K$16:$K$22</c:f>
              <c:numCache>
                <c:formatCode>0.0</c:formatCode>
                <c:ptCount val="7"/>
                <c:pt idx="0">
                  <c:v>21.337607553744583</c:v>
                </c:pt>
                <c:pt idx="1">
                  <c:v>32.006411330616871</c:v>
                </c:pt>
                <c:pt idx="2">
                  <c:v>18.136966420682899</c:v>
                </c:pt>
                <c:pt idx="3">
                  <c:v>4.907649737361254</c:v>
                </c:pt>
                <c:pt idx="4">
                  <c:v>10.668803776872291</c:v>
                </c:pt>
                <c:pt idx="5">
                  <c:v>4.26060672629111</c:v>
                </c:pt>
                <c:pt idx="6">
                  <c:v>8.7057438819277913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2-4F14-9B37-C31110CBEE8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Sheet3!$C$15</c:f>
              <c:strCache>
                <c:ptCount val="1"/>
                <c:pt idx="0">
                  <c:v>Direct Capital costs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Sheet3!$D$15:$M$15</c:f>
              <c:numCache>
                <c:formatCode>General</c:formatCode>
                <c:ptCount val="10"/>
                <c:pt idx="0">
                  <c:v>111.1</c:v>
                </c:pt>
                <c:pt idx="2">
                  <c:v>132.6</c:v>
                </c:pt>
                <c:pt idx="4">
                  <c:v>111.1</c:v>
                </c:pt>
                <c:pt idx="6">
                  <c:v>132.6</c:v>
                </c:pt>
                <c:pt idx="8">
                  <c:v>111.1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C4-44C4-BDC7-7D2A687C793C}"/>
            </c:ext>
          </c:extLst>
        </c:ser>
        <c:ser>
          <c:idx val="1"/>
          <c:order val="1"/>
          <c:tx>
            <c:strRef>
              <c:f>Sheet3!$C$16</c:f>
              <c:strCache>
                <c:ptCount val="1"/>
                <c:pt idx="0">
                  <c:v>Indirect costs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Sheet3!$D$16:$M$16</c:f>
              <c:numCache>
                <c:formatCode>General</c:formatCode>
                <c:ptCount val="10"/>
                <c:pt idx="0">
                  <c:v>37.799999999999997</c:v>
                </c:pt>
                <c:pt idx="2">
                  <c:v>45.1</c:v>
                </c:pt>
                <c:pt idx="4">
                  <c:v>37.799999999999997</c:v>
                </c:pt>
                <c:pt idx="6">
                  <c:v>45.1</c:v>
                </c:pt>
                <c:pt idx="8">
                  <c:v>37.799999999999997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C4-44C4-BDC7-7D2A687C793C}"/>
            </c:ext>
          </c:extLst>
        </c:ser>
        <c:ser>
          <c:idx val="2"/>
          <c:order val="2"/>
          <c:tx>
            <c:strRef>
              <c:f>Sheet3!$C$17</c:f>
              <c:strCache>
                <c:ptCount val="1"/>
                <c:pt idx="0">
                  <c:v>Contractor fees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Sheet3!$D$17:$M$17</c:f>
              <c:numCache>
                <c:formatCode>General</c:formatCode>
                <c:ptCount val="10"/>
                <c:pt idx="0">
                  <c:v>10.199999999999999</c:v>
                </c:pt>
                <c:pt idx="2">
                  <c:v>12.2</c:v>
                </c:pt>
                <c:pt idx="4">
                  <c:v>10.199999999999999</c:v>
                </c:pt>
                <c:pt idx="6">
                  <c:v>12.2</c:v>
                </c:pt>
                <c:pt idx="8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C4-44C4-BDC7-7D2A687C793C}"/>
            </c:ext>
          </c:extLst>
        </c:ser>
        <c:ser>
          <c:idx val="3"/>
          <c:order val="3"/>
          <c:tx>
            <c:strRef>
              <c:f>Sheet3!$C$18</c:f>
              <c:strCache>
                <c:ptCount val="1"/>
                <c:pt idx="0">
                  <c:v>Contingency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Sheet3!$D$18:$M$18</c:f>
              <c:numCache>
                <c:formatCode>General</c:formatCode>
                <c:ptCount val="10"/>
                <c:pt idx="0">
                  <c:v>22.2</c:v>
                </c:pt>
                <c:pt idx="2">
                  <c:v>26.5</c:v>
                </c:pt>
                <c:pt idx="4">
                  <c:v>22.2</c:v>
                </c:pt>
                <c:pt idx="6">
                  <c:v>26.5</c:v>
                </c:pt>
                <c:pt idx="8">
                  <c:v>22.2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C4-44C4-BDC7-7D2A687C793C}"/>
            </c:ext>
          </c:extLst>
        </c:ser>
        <c:ser>
          <c:idx val="4"/>
          <c:order val="4"/>
          <c:tx>
            <c:strRef>
              <c:f>Sheet3!$C$19</c:f>
              <c:strCache>
                <c:ptCount val="1"/>
                <c:pt idx="0">
                  <c:v>Working capital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Sheet3!$D$19:$M$19</c:f>
              <c:numCache>
                <c:formatCode>General</c:formatCode>
                <c:ptCount val="10"/>
                <c:pt idx="0">
                  <c:v>8.1</c:v>
                </c:pt>
                <c:pt idx="2">
                  <c:v>10.5</c:v>
                </c:pt>
                <c:pt idx="4">
                  <c:v>10.5</c:v>
                </c:pt>
                <c:pt idx="6">
                  <c:v>9.1</c:v>
                </c:pt>
                <c:pt idx="8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C4-44C4-BDC7-7D2A687C793C}"/>
            </c:ext>
          </c:extLst>
        </c:ser>
        <c:ser>
          <c:idx val="5"/>
          <c:order val="5"/>
          <c:tx>
            <c:strRef>
              <c:f>Sheet3!$C$20</c:f>
              <c:strCache>
                <c:ptCount val="1"/>
                <c:pt idx="0">
                  <c:v>Start up costs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Sheet3!$D$20:$M$20</c:f>
              <c:numCache>
                <c:formatCode>General</c:formatCode>
                <c:ptCount val="10"/>
                <c:pt idx="0">
                  <c:v>18.14</c:v>
                </c:pt>
                <c:pt idx="2">
                  <c:v>21.64</c:v>
                </c:pt>
                <c:pt idx="4">
                  <c:v>18.14</c:v>
                </c:pt>
                <c:pt idx="6">
                  <c:v>21.64</c:v>
                </c:pt>
                <c:pt idx="8">
                  <c:v>18.14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C4-44C4-BDC7-7D2A687C793C}"/>
            </c:ext>
          </c:extLst>
        </c:ser>
        <c:ser>
          <c:idx val="6"/>
          <c:order val="6"/>
          <c:tx>
            <c:strRef>
              <c:f>Sheet3!$C$21</c:f>
              <c:strCache>
                <c:ptCount val="1"/>
                <c:pt idx="0">
                  <c:v>Direct Production costs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Sheet3!$D$21:$M$21</c:f>
              <c:numCache>
                <c:formatCode>General</c:formatCode>
                <c:ptCount val="10"/>
                <c:pt idx="1">
                  <c:v>42.4</c:v>
                </c:pt>
                <c:pt idx="3">
                  <c:v>47.6</c:v>
                </c:pt>
                <c:pt idx="5">
                  <c:v>44.5</c:v>
                </c:pt>
                <c:pt idx="7">
                  <c:v>47.3</c:v>
                </c:pt>
                <c:pt idx="9">
                  <c:v>44.5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4C4-44C4-BDC7-7D2A687C793C}"/>
            </c:ext>
          </c:extLst>
        </c:ser>
        <c:ser>
          <c:idx val="7"/>
          <c:order val="7"/>
          <c:tx>
            <c:strRef>
              <c:f>Sheet3!$C$22</c:f>
              <c:strCache>
                <c:ptCount val="1"/>
                <c:pt idx="0">
                  <c:v>Plant overhead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Sheet3!$D$22:$M$22</c:f>
              <c:numCache>
                <c:formatCode>General</c:formatCode>
                <c:ptCount val="10"/>
                <c:pt idx="1">
                  <c:v>0.6</c:v>
                </c:pt>
                <c:pt idx="3">
                  <c:v>0.6</c:v>
                </c:pt>
                <c:pt idx="5">
                  <c:v>0.6</c:v>
                </c:pt>
                <c:pt idx="7">
                  <c:v>0.6</c:v>
                </c:pt>
                <c:pt idx="9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4C4-44C4-BDC7-7D2A687C793C}"/>
            </c:ext>
          </c:extLst>
        </c:ser>
        <c:ser>
          <c:idx val="8"/>
          <c:order val="8"/>
          <c:tx>
            <c:strRef>
              <c:f>Sheet3!$C$23</c:f>
              <c:strCache>
                <c:ptCount val="1"/>
                <c:pt idx="0">
                  <c:v>Contigency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Sheet3!$D$23:$M$23</c:f>
              <c:numCache>
                <c:formatCode>General</c:formatCode>
                <c:ptCount val="10"/>
                <c:pt idx="1">
                  <c:v>8.5</c:v>
                </c:pt>
                <c:pt idx="3">
                  <c:v>9.5</c:v>
                </c:pt>
                <c:pt idx="5">
                  <c:v>8.9</c:v>
                </c:pt>
                <c:pt idx="7">
                  <c:v>9.5</c:v>
                </c:pt>
                <c:pt idx="9">
                  <c:v>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C4-44C4-BDC7-7D2A687C793C}"/>
            </c:ext>
          </c:extLst>
        </c:ser>
        <c:ser>
          <c:idx val="9"/>
          <c:order val="9"/>
          <c:tx>
            <c:strRef>
              <c:f>Sheet3!$C$24</c:f>
              <c:strCache>
                <c:ptCount val="1"/>
                <c:pt idx="0">
                  <c:v>Fixed charges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Sheet3!$D$24:$M$24</c:f>
              <c:numCache>
                <c:formatCode>General</c:formatCode>
                <c:ptCount val="10"/>
                <c:pt idx="1">
                  <c:v>29.9</c:v>
                </c:pt>
                <c:pt idx="3">
                  <c:v>35.799999999999997</c:v>
                </c:pt>
                <c:pt idx="5">
                  <c:v>30.2</c:v>
                </c:pt>
                <c:pt idx="7">
                  <c:v>35.6</c:v>
                </c:pt>
                <c:pt idx="9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4C4-44C4-BDC7-7D2A687C793C}"/>
            </c:ext>
          </c:extLst>
        </c:ser>
        <c:ser>
          <c:idx val="10"/>
          <c:order val="10"/>
          <c:tx>
            <c:strRef>
              <c:f>Sheet3!$C$25</c:f>
              <c:strCache>
                <c:ptCount val="1"/>
                <c:pt idx="0">
                  <c:v>Total General expenses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Sheet3!$D$13:$M$14</c:f>
              <c:multiLvlStrCache>
                <c:ptCount val="10"/>
                <c:lvl>
                  <c:pt idx="0">
                    <c:v>TCI</c:v>
                  </c:pt>
                  <c:pt idx="1">
                    <c:v>TOC</c:v>
                  </c:pt>
                  <c:pt idx="2">
                    <c:v>TCI</c:v>
                  </c:pt>
                  <c:pt idx="3">
                    <c:v>TOC</c:v>
                  </c:pt>
                  <c:pt idx="4">
                    <c:v>TCI</c:v>
                  </c:pt>
                  <c:pt idx="5">
                    <c:v>TOC</c:v>
                  </c:pt>
                  <c:pt idx="6">
                    <c:v>TCI</c:v>
                  </c:pt>
                  <c:pt idx="7">
                    <c:v>TOC</c:v>
                  </c:pt>
                  <c:pt idx="8">
                    <c:v>TCI</c:v>
                  </c:pt>
                  <c:pt idx="9">
                    <c:v>TOC</c:v>
                  </c:pt>
                </c:lvl>
                <c:lvl>
                  <c:pt idx="0">
                    <c:v>HTL</c:v>
                  </c:pt>
                  <c:pt idx="2">
                    <c:v>HTL+Upgrading</c:v>
                  </c:pt>
                  <c:pt idx="4">
                    <c:v>HTL+Co-Upgrading</c:v>
                  </c:pt>
                  <c:pt idx="6">
                    <c:v>HTL+Upgrading+Co-distillation</c:v>
                  </c:pt>
                  <c:pt idx="8">
                    <c:v>HTL+Co-Upgrading+Co-Distillation</c:v>
                  </c:pt>
                </c:lvl>
              </c:multiLvlStrCache>
            </c:multiLvlStrRef>
          </c:cat>
          <c:val>
            <c:numRef>
              <c:f>Sheet3!$D$25:$M$25</c:f>
              <c:numCache>
                <c:formatCode>General</c:formatCode>
                <c:ptCount val="10"/>
                <c:pt idx="1">
                  <c:v>4.0999999999999996</c:v>
                </c:pt>
                <c:pt idx="3">
                  <c:v>5.3</c:v>
                </c:pt>
                <c:pt idx="5">
                  <c:v>5.3</c:v>
                </c:pt>
                <c:pt idx="7">
                  <c:v>4.5</c:v>
                </c:pt>
                <c:pt idx="9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4C4-44C4-BDC7-7D2A687C7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35882704"/>
        <c:axId val="935883184"/>
      </c:barChart>
      <c:catAx>
        <c:axId val="93588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35883184"/>
        <c:crosses val="autoZero"/>
        <c:auto val="1"/>
        <c:lblAlgn val="ctr"/>
        <c:lblOffset val="100"/>
        <c:noMultiLvlLbl val="0"/>
      </c:catAx>
      <c:valAx>
        <c:axId val="935883184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0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400" b="1"/>
                  <a:t>TCI Costs</a:t>
                </a:r>
                <a:r>
                  <a:rPr lang="nl-NL" sz="1400" b="1" baseline="0"/>
                  <a:t> in Million Euros / TOC costs in MIllion Euros      per year </a:t>
                </a:r>
                <a:endParaRPr lang="nl-NL" sz="1400" b="1"/>
              </a:p>
            </c:rich>
          </c:tx>
          <c:layout>
            <c:manualLayout>
              <c:xMode val="edge"/>
              <c:yMode val="edge"/>
              <c:x val="6.549197104532921E-3"/>
              <c:y val="2.250871816548663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0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35882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Effect of Plant Scale on the bio-oil MFSP of distributed HTL plant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'MFSP for different CAPEX'!$A$4</c:f>
              <c:strCache>
                <c:ptCount val="1"/>
                <c:pt idx="0">
                  <c:v>150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'MFSP for different CAPEX'!$B$3:$D$3</c:f>
              <c:strCache>
                <c:ptCount val="3"/>
                <c:pt idx="0">
                  <c:v>HTL</c:v>
                </c:pt>
                <c:pt idx="1">
                  <c:v>HTL with upgrading </c:v>
                </c:pt>
                <c:pt idx="2">
                  <c:v>HTL + upgrading + fractionation </c:v>
                </c:pt>
              </c:strCache>
            </c:strRef>
          </c:cat>
          <c:val>
            <c:numRef>
              <c:f>'MFSP for different CAPEX'!$B$4:$D$4</c:f>
              <c:numCache>
                <c:formatCode>General</c:formatCode>
                <c:ptCount val="3"/>
                <c:pt idx="0">
                  <c:v>3.14</c:v>
                </c:pt>
                <c:pt idx="1">
                  <c:v>2.82</c:v>
                </c:pt>
                <c:pt idx="2">
                  <c:v>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80-4FAF-B683-4D96242E7001}"/>
            </c:ext>
          </c:extLst>
        </c:ser>
        <c:ser>
          <c:idx val="1"/>
          <c:order val="1"/>
          <c:tx>
            <c:strRef>
              <c:f>'MFSP for different CAPEX'!$A$5</c:f>
              <c:strCache>
                <c:ptCount val="1"/>
                <c:pt idx="0">
                  <c:v>500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'MFSP for different CAPEX'!$B$3:$D$3</c:f>
              <c:strCache>
                <c:ptCount val="3"/>
                <c:pt idx="0">
                  <c:v>HTL</c:v>
                </c:pt>
                <c:pt idx="1">
                  <c:v>HTL with upgrading </c:v>
                </c:pt>
                <c:pt idx="2">
                  <c:v>HTL + upgrading + fractionation </c:v>
                </c:pt>
              </c:strCache>
            </c:strRef>
          </c:cat>
          <c:val>
            <c:numRef>
              <c:f>'MFSP for different CAPEX'!$B$5:$D$5</c:f>
              <c:numCache>
                <c:formatCode>0.00</c:formatCode>
                <c:ptCount val="3"/>
                <c:pt idx="0">
                  <c:v>2.1009962552191928</c:v>
                </c:pt>
                <c:pt idx="1">
                  <c:v>1.8762836294358141</c:v>
                </c:pt>
                <c:pt idx="2">
                  <c:v>1.3556987028895771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80-4FAF-B683-4D96242E7001}"/>
            </c:ext>
          </c:extLst>
        </c:ser>
        <c:ser>
          <c:idx val="2"/>
          <c:order val="2"/>
          <c:tx>
            <c:strRef>
              <c:f>'MFSP for different CAPEX'!$A$6</c:f>
              <c:strCache>
                <c:ptCount val="1"/>
                <c:pt idx="0">
                  <c:v>1000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'MFSP for different CAPEX'!$B$3:$D$3</c:f>
              <c:strCache>
                <c:ptCount val="3"/>
                <c:pt idx="0">
                  <c:v>HTL</c:v>
                </c:pt>
                <c:pt idx="1">
                  <c:v>HTL with upgrading </c:v>
                </c:pt>
                <c:pt idx="2">
                  <c:v>HTL + upgrading + fractionation </c:v>
                </c:pt>
              </c:strCache>
            </c:strRef>
          </c:cat>
          <c:val>
            <c:numRef>
              <c:f>'MFSP for different CAPEX'!$B$6:$D$6</c:f>
              <c:numCache>
                <c:formatCode>0.00</c:formatCode>
                <c:ptCount val="3"/>
                <c:pt idx="0">
                  <c:v>1.5740000000000001</c:v>
                </c:pt>
                <c:pt idx="1">
                  <c:v>1.357</c:v>
                </c:pt>
                <c:pt idx="2">
                  <c:v>0.77300000000000002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80-4FAF-B683-4D96242E7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091679"/>
        <c:axId val="248096479"/>
      </c:lineChart>
      <c:catAx>
        <c:axId val="248091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8096479"/>
        <c:crosses val="autoZero"/>
        <c:auto val="1"/>
        <c:lblAlgn val="ctr"/>
        <c:lblOffset val="100"/>
        <c:noMultiLvlLbl val="0"/>
      </c:catAx>
      <c:valAx>
        <c:axId val="248096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80916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l-NL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Effect of Plant Scale on the bio-oil MFSP of distributed HTL plant </a:t>
            </a:r>
          </a:p>
        </c:rich>
      </c:tx>
      <c:layout>
        <c:manualLayout>
          <c:xMode val="edge"/>
          <c:yMode val="edge"/>
          <c:x val="0.1522852167818382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10664597529056266"/>
          <c:y val="0.20820276497695853"/>
          <c:w val="0.86281967356439915"/>
          <c:h val="0.55088283319423781"/>
        </c:manualLayout>
      </c:layout>
      <c:lineChart>
        <c:grouping val="standard"/>
        <c:varyColors val="0"/>
        <c:ser>
          <c:idx val="0"/>
          <c:order val="0"/>
          <c:tx>
            <c:strRef>
              <c:f>'MFSP for different CAPEX'!$A$12</c:f>
              <c:strCache>
                <c:ptCount val="1"/>
                <c:pt idx="0">
                  <c:v>HTL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CAPEX'!$B$12:$D$12</c:f>
              <c:numCache>
                <c:formatCode>General</c:formatCode>
                <c:ptCount val="3"/>
                <c:pt idx="0">
                  <c:v>3.14</c:v>
                </c:pt>
                <c:pt idx="1">
                  <c:v>2.1</c:v>
                </c:pt>
                <c:pt idx="2">
                  <c:v>1.6080000000000001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C2-474B-94BB-EDF0CC904F2C}"/>
            </c:ext>
          </c:extLst>
        </c:ser>
        <c:ser>
          <c:idx val="1"/>
          <c:order val="1"/>
          <c:tx>
            <c:strRef>
              <c:f>'MFSP for different CAPEX'!$A$13</c:f>
              <c:strCache>
                <c:ptCount val="1"/>
                <c:pt idx="0">
                  <c:v>HTL + Upgrading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CAPEX'!$B$13:$D$13</c:f>
              <c:numCache>
                <c:formatCode>General</c:formatCode>
                <c:ptCount val="3"/>
                <c:pt idx="0">
                  <c:v>2.82</c:v>
                </c:pt>
                <c:pt idx="1">
                  <c:v>1.88</c:v>
                </c:pt>
                <c:pt idx="2">
                  <c:v>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C2-474B-94BB-EDF0CC904F2C}"/>
            </c:ext>
          </c:extLst>
        </c:ser>
        <c:ser>
          <c:idx val="2"/>
          <c:order val="2"/>
          <c:tx>
            <c:strRef>
              <c:f>'MFSP for different CAPEX'!$A$14</c:f>
              <c:strCache>
                <c:ptCount val="1"/>
                <c:pt idx="0">
                  <c:v>HTL+Upgarding+Fractionation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CAPEX'!$B$14:$D$14</c:f>
              <c:numCache>
                <c:formatCode>General</c:formatCode>
                <c:ptCount val="3"/>
                <c:pt idx="0">
                  <c:v>2.2999999999999998</c:v>
                </c:pt>
                <c:pt idx="1">
                  <c:v>1.36</c:v>
                </c:pt>
                <c:pt idx="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C2-474B-94BB-EDF0CC904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111359"/>
        <c:axId val="248111839"/>
      </c:lineChart>
      <c:catAx>
        <c:axId val="2481113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COP</a:t>
                </a:r>
                <a:r>
                  <a:rPr lang="nl-NL" baseline="0"/>
                  <a:t> feed rate, wet metric ton/day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8111839"/>
        <c:crosses val="autoZero"/>
        <c:auto val="1"/>
        <c:lblAlgn val="ctr"/>
        <c:lblOffset val="100"/>
        <c:noMultiLvlLbl val="0"/>
      </c:catAx>
      <c:valAx>
        <c:axId val="248111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MFSP:</a:t>
                </a:r>
                <a:r>
                  <a:rPr lang="nl-NL" baseline="0"/>
                  <a:t> fossil ratio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48111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4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Effect of Plant Scale on the MBF MFSP of distributed HTL plant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7.4256488464125775E-2"/>
          <c:y val="8.9636168527655657E-2"/>
          <c:w val="0.92449808461092353"/>
          <c:h val="0.72999280552807666"/>
        </c:manualLayout>
      </c:layout>
      <c:lineChart>
        <c:grouping val="standard"/>
        <c:varyColors val="0"/>
        <c:ser>
          <c:idx val="0"/>
          <c:order val="0"/>
          <c:tx>
            <c:strRef>
              <c:f>'MFSP for different CAPEX'!$A$12</c:f>
              <c:strCache>
                <c:ptCount val="1"/>
                <c:pt idx="0">
                  <c:v>HTL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CAPEX'!$B$12:$D$12</c:f>
              <c:numCache>
                <c:formatCode>General</c:formatCode>
                <c:ptCount val="3"/>
                <c:pt idx="0">
                  <c:v>3.14</c:v>
                </c:pt>
                <c:pt idx="1">
                  <c:v>2.1</c:v>
                </c:pt>
                <c:pt idx="2">
                  <c:v>1.6080000000000001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EE-4774-A35F-78B1B8247135}"/>
            </c:ext>
          </c:extLst>
        </c:ser>
        <c:ser>
          <c:idx val="1"/>
          <c:order val="1"/>
          <c:tx>
            <c:strRef>
              <c:f>'MFSP for different CAPEX'!$A$13</c:f>
              <c:strCache>
                <c:ptCount val="1"/>
                <c:pt idx="0">
                  <c:v>HTL + Upgrading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CAPEX'!$B$13:$D$13</c:f>
              <c:numCache>
                <c:formatCode>General</c:formatCode>
                <c:ptCount val="3"/>
                <c:pt idx="0">
                  <c:v>2.82</c:v>
                </c:pt>
                <c:pt idx="1">
                  <c:v>1.88</c:v>
                </c:pt>
                <c:pt idx="2">
                  <c:v>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EE-4774-A35F-78B1B8247135}"/>
            </c:ext>
          </c:extLst>
        </c:ser>
        <c:ser>
          <c:idx val="2"/>
          <c:order val="2"/>
          <c:tx>
            <c:strRef>
              <c:f>'MFSP for different CAPEX'!$A$14</c:f>
              <c:strCache>
                <c:ptCount val="1"/>
                <c:pt idx="0">
                  <c:v>HTL+Upgarding+Fractionation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CAPEX'!$B$14:$D$14</c:f>
              <c:numCache>
                <c:formatCode>General</c:formatCode>
                <c:ptCount val="3"/>
                <c:pt idx="0">
                  <c:v>2.2999999999999998</c:v>
                </c:pt>
                <c:pt idx="1">
                  <c:v>1.36</c:v>
                </c:pt>
                <c:pt idx="2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EE-4774-A35F-78B1B8247135}"/>
            </c:ext>
          </c:extLst>
        </c:ser>
        <c:ser>
          <c:idx val="3"/>
          <c:order val="3"/>
          <c:tx>
            <c:strRef>
              <c:f>'MFSP for different CAPEX'!$A$15</c:f>
              <c:strCache>
                <c:ptCount val="1"/>
                <c:pt idx="0">
                  <c:v>HTL + Co Upgarding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  <a:prstDash val="sysDot"/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CAPEX'!$B$15:$D$15</c:f>
              <c:numCache>
                <c:formatCode>General</c:formatCode>
                <c:ptCount val="3"/>
                <c:pt idx="0">
                  <c:v>2.5</c:v>
                </c:pt>
                <c:pt idx="1">
                  <c:v>1.7</c:v>
                </c:pt>
                <c:pt idx="2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EE-4774-A35F-78B1B8247135}"/>
            </c:ext>
          </c:extLst>
        </c:ser>
        <c:ser>
          <c:idx val="4"/>
          <c:order val="4"/>
          <c:tx>
            <c:strRef>
              <c:f>'MFSP for different CAPEX'!$A$16</c:f>
              <c:strCache>
                <c:ptCount val="1"/>
                <c:pt idx="0">
                  <c:v>HTL + Co Upgrading + Fractionation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'MFSP for different CAPEX'!$B$11:$D$11</c:f>
              <c:numCache>
                <c:formatCode>General</c:formatCode>
                <c:ptCount val="3"/>
                <c:pt idx="0">
                  <c:v>60</c:v>
                </c:pt>
                <c:pt idx="1">
                  <c:v>588</c:v>
                </c:pt>
                <c:pt idx="2">
                  <c:v>1494</c:v>
                </c:pt>
              </c:numCache>
            </c:numRef>
          </c:cat>
          <c:val>
            <c:numRef>
              <c:f>'MFSP for different CAPEX'!$B$16:$D$16</c:f>
              <c:numCache>
                <c:formatCode>General</c:formatCode>
                <c:ptCount val="3"/>
                <c:pt idx="0">
                  <c:v>1.99</c:v>
                </c:pt>
                <c:pt idx="1">
                  <c:v>1.18</c:v>
                </c:pt>
                <c:pt idx="2">
                  <c:v>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EE-4774-A35F-78B1B82471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994159"/>
        <c:axId val="1550862080"/>
      </c:lineChart>
      <c:catAx>
        <c:axId val="964994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b="1"/>
                  <a:t>COP</a:t>
                </a:r>
                <a:r>
                  <a:rPr lang="nl-NL" sz="1200" b="1" baseline="0"/>
                  <a:t> feed rate, dry metric tons per day (DTPD)</a:t>
                </a:r>
                <a:endParaRPr lang="nl-NL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50862080"/>
        <c:crosses val="autoZero"/>
        <c:auto val="1"/>
        <c:lblAlgn val="ctr"/>
        <c:lblOffset val="100"/>
        <c:noMultiLvlLbl val="0"/>
      </c:catAx>
      <c:valAx>
        <c:axId val="155086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b="1"/>
                  <a:t>MBF: Fossil MFSP ratio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964994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stacked"/>
        <c:varyColors val="0"/>
        <c:ser>
          <c:idx val="1"/>
          <c:order val="1"/>
          <c:tx>
            <c:strRef>
              <c:f>'MFSP sesnitivity  analysis '!$C$46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'MFSP sesnitivity  analysis '!$A$47:$A$52</c:f>
              <c:strCache>
                <c:ptCount val="6"/>
                <c:pt idx="0">
                  <c:v>MGO price</c:v>
                </c:pt>
                <c:pt idx="1">
                  <c:v>Reactor costs</c:v>
                </c:pt>
                <c:pt idx="2">
                  <c:v>Feedstock price</c:v>
                </c:pt>
                <c:pt idx="3">
                  <c:v>transport fixed price </c:v>
                </c:pt>
                <c:pt idx="4">
                  <c:v>transport variale price </c:v>
                </c:pt>
                <c:pt idx="5">
                  <c:v>Yield</c:v>
                </c:pt>
              </c:strCache>
            </c:strRef>
          </c:cat>
          <c:val>
            <c:numRef>
              <c:f>'MFSP sesnitivity  analysis '!$C$47:$C$52</c:f>
              <c:numCache>
                <c:formatCode>General</c:formatCode>
                <c:ptCount val="6"/>
                <c:pt idx="0">
                  <c:v>1.7467163705641862</c:v>
                </c:pt>
                <c:pt idx="1">
                  <c:v>-0.39628362943581408</c:v>
                </c:pt>
                <c:pt idx="2">
                  <c:v>-0.27228362943581397</c:v>
                </c:pt>
                <c:pt idx="3">
                  <c:v>-1.0283629435813957E-2</c:v>
                </c:pt>
                <c:pt idx="4">
                  <c:v>-3.3283629435814088E-2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D2-4CC4-BFBE-C498C8E31DD3}"/>
            </c:ext>
          </c:extLst>
        </c:ser>
        <c:ser>
          <c:idx val="2"/>
          <c:order val="2"/>
          <c:tx>
            <c:strRef>
              <c:f>'MFSP sesnitivity  analysis '!$D$46</c:f>
              <c:strCache>
                <c:ptCount val="1"/>
                <c:pt idx="0">
                  <c:v>MFSP (-25%)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'MFSP sesnitivity  analysis '!$A$47:$A$52</c:f>
              <c:strCache>
                <c:ptCount val="6"/>
                <c:pt idx="0">
                  <c:v>MGO price</c:v>
                </c:pt>
                <c:pt idx="1">
                  <c:v>Reactor costs</c:v>
                </c:pt>
                <c:pt idx="2">
                  <c:v>Feedstock price</c:v>
                </c:pt>
                <c:pt idx="3">
                  <c:v>transport fixed price </c:v>
                </c:pt>
                <c:pt idx="4">
                  <c:v>transport variale price </c:v>
                </c:pt>
                <c:pt idx="5">
                  <c:v>Yield</c:v>
                </c:pt>
              </c:strCache>
            </c:strRef>
          </c:cat>
          <c:val>
            <c:numRef>
              <c:f>'MFSP sesnitivity  analysis '!$D$47:$D$52</c:f>
              <c:numCache>
                <c:formatCode>General</c:formatCode>
                <c:ptCount val="6"/>
                <c:pt idx="0">
                  <c:v>0.58071637056418579</c:v>
                </c:pt>
                <c:pt idx="1">
                  <c:v>-0.19928362943581401</c:v>
                </c:pt>
                <c:pt idx="2">
                  <c:v>-0.1682836294358141</c:v>
                </c:pt>
                <c:pt idx="3">
                  <c:v>-7.2836294358140652E-3</c:v>
                </c:pt>
                <c:pt idx="4">
                  <c:v>-1.7283629435814074E-2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D2-4CC4-BFBE-C498C8E31DD3}"/>
            </c:ext>
          </c:extLst>
        </c:ser>
        <c:ser>
          <c:idx val="3"/>
          <c:order val="3"/>
          <c:tx>
            <c:strRef>
              <c:f>'MFSP sesnitivity  analysis '!$E$46</c:f>
              <c:strCache>
                <c:ptCount val="1"/>
                <c:pt idx="0">
                  <c:v>Base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'MFSP sesnitivity  analysis '!$A$47:$A$52</c:f>
              <c:strCache>
                <c:ptCount val="6"/>
                <c:pt idx="0">
                  <c:v>MGO price</c:v>
                </c:pt>
                <c:pt idx="1">
                  <c:v>Reactor costs</c:v>
                </c:pt>
                <c:pt idx="2">
                  <c:v>Feedstock price</c:v>
                </c:pt>
                <c:pt idx="3">
                  <c:v>transport fixed price </c:v>
                </c:pt>
                <c:pt idx="4">
                  <c:v>transport variale price </c:v>
                </c:pt>
                <c:pt idx="5">
                  <c:v>Yield</c:v>
                </c:pt>
              </c:strCache>
            </c:strRef>
          </c:cat>
          <c:val>
            <c:numRef>
              <c:f>'MFSP sesnitivity  analysis '!$E$47:$E$52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D2-4CC4-BFBE-C498C8E31DD3}"/>
            </c:ext>
          </c:extLst>
        </c:ser>
        <c:ser>
          <c:idx val="4"/>
          <c:order val="4"/>
          <c:tx>
            <c:strRef>
              <c:f>'MFSP sesnitivity  analysis '!$F$46</c:f>
              <c:strCache>
                <c:ptCount val="1"/>
                <c:pt idx="0">
                  <c:v>MFSP (+25%)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'MFSP sesnitivity  analysis '!$A$47:$A$52</c:f>
              <c:strCache>
                <c:ptCount val="6"/>
                <c:pt idx="0">
                  <c:v>MGO price</c:v>
                </c:pt>
                <c:pt idx="1">
                  <c:v>Reactor costs</c:v>
                </c:pt>
                <c:pt idx="2">
                  <c:v>Feedstock price</c:v>
                </c:pt>
                <c:pt idx="3">
                  <c:v>transport fixed price </c:v>
                </c:pt>
                <c:pt idx="4">
                  <c:v>transport variale price </c:v>
                </c:pt>
                <c:pt idx="5">
                  <c:v>Yield</c:v>
                </c:pt>
              </c:strCache>
            </c:strRef>
          </c:cat>
          <c:val>
            <c:numRef>
              <c:f>'MFSP sesnitivity  analysis '!$F$47:$F$52</c:f>
              <c:numCache>
                <c:formatCode>General</c:formatCode>
                <c:ptCount val="6"/>
                <c:pt idx="0">
                  <c:v>-0.35228362943581404</c:v>
                </c:pt>
                <c:pt idx="1">
                  <c:v>0.19471637056418611</c:v>
                </c:pt>
                <c:pt idx="2">
                  <c:v>0.24371637056418605</c:v>
                </c:pt>
                <c:pt idx="3">
                  <c:v>1.7163705641858318E-3</c:v>
                </c:pt>
                <c:pt idx="4">
                  <c:v>1.6716370564185956E-2</c:v>
                </c:pt>
                <c:pt idx="5">
                  <c:v>-0.24328362943581405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D2-4CC4-BFBE-C498C8E31DD3}"/>
            </c:ext>
          </c:extLst>
        </c:ser>
        <c:ser>
          <c:idx val="5"/>
          <c:order val="5"/>
          <c:tx>
            <c:strRef>
              <c:f>'MFSP sesnitivity  analysis '!$G$46</c:f>
              <c:strCache>
                <c:ptCount val="1"/>
                <c:pt idx="0">
                  <c:v>MFSP (+50%)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'MFSP sesnitivity  analysis '!$A$47:$A$52</c:f>
              <c:strCache>
                <c:ptCount val="6"/>
                <c:pt idx="0">
                  <c:v>MGO price</c:v>
                </c:pt>
                <c:pt idx="1">
                  <c:v>Reactor costs</c:v>
                </c:pt>
                <c:pt idx="2">
                  <c:v>Feedstock price</c:v>
                </c:pt>
                <c:pt idx="3">
                  <c:v>transport fixed price </c:v>
                </c:pt>
                <c:pt idx="4">
                  <c:v>transport variale price </c:v>
                </c:pt>
                <c:pt idx="5">
                  <c:v>Yield</c:v>
                </c:pt>
              </c:strCache>
            </c:strRef>
          </c:cat>
          <c:val>
            <c:numRef>
              <c:f>'MFSP sesnitivity  analysis '!$G$47:$G$52</c:f>
              <c:numCache>
                <c:formatCode>General</c:formatCode>
                <c:ptCount val="6"/>
                <c:pt idx="0">
                  <c:v>-0.58528362943581413</c:v>
                </c:pt>
                <c:pt idx="1">
                  <c:v>0.39171637056418573</c:v>
                </c:pt>
                <c:pt idx="2">
                  <c:v>0.76771637056418607</c:v>
                </c:pt>
                <c:pt idx="3">
                  <c:v>5.7163705641858353E-3</c:v>
                </c:pt>
                <c:pt idx="4">
                  <c:v>3.271637056418597E-2</c:v>
                </c:pt>
                <c:pt idx="5">
                  <c:v>-0.43228362943581411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ED2-4CC4-BFBE-C498C8E31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7573535"/>
        <c:axId val="154757449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'MFSP sesnitivity  analysis '!$B$46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'MFSP sesnitivity  analysis '!$A$47:$A$52</c15:sqref>
                        </c15:formulaRef>
                      </c:ext>
                    </c:extLst>
                    <c:strCache>
                      <c:ptCount val="6"/>
                      <c:pt idx="0">
                        <c:v>MGO price</c:v>
                      </c:pt>
                      <c:pt idx="1">
                        <c:v>Reactor costs</c:v>
                      </c:pt>
                      <c:pt idx="2">
                        <c:v>Feedstock price</c:v>
                      </c:pt>
                      <c:pt idx="3">
                        <c:v>transport fixed price </c:v>
                      </c:pt>
                      <c:pt idx="4">
                        <c:v>transport variale price </c:v>
                      </c:pt>
                      <c:pt idx="5">
                        <c:v>Yield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'MFSP sesnitivity  analysis '!$B$47:$B$52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9ED2-4CC4-BFBE-C498C8E31DD3}"/>
                  </c:ext>
                </c:extLst>
              </c15:ser>
            </c15:filteredBarSeries>
          </c:ext>
        </c:extLst>
      </c:barChart>
      <c:catAx>
        <c:axId val="15475735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47574495"/>
        <c:crosses val="autoZero"/>
        <c:auto val="1"/>
        <c:lblAlgn val="ctr"/>
        <c:lblOffset val="100"/>
        <c:noMultiLvlLbl val="0"/>
      </c:catAx>
      <c:valAx>
        <c:axId val="1547574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475735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524036664435959"/>
          <c:y val="9.7780581630503363E-3"/>
          <c:w val="0.78774459274080666"/>
          <c:h val="0.88305173128695458"/>
        </c:manualLayout>
      </c:layout>
      <c:barChart>
        <c:barDir val="bar"/>
        <c:grouping val="stacked"/>
        <c:varyColors val="0"/>
        <c:ser>
          <c:idx val="1"/>
          <c:order val="1"/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'MFSP sesnitivity  analysis '!$A$56:$G$63</c:f>
              <c:multiLvlStrCache>
                <c:ptCount val="8"/>
                <c:lvl>
                  <c:pt idx="0">
                    <c:v>-31,19377157</c:v>
                  </c:pt>
                  <c:pt idx="1">
                    <c:v>20,87724715</c:v>
                  </c:pt>
                  <c:pt idx="2">
                    <c:v>40,91686132</c:v>
                  </c:pt>
                  <c:pt idx="3">
                    <c:v>0,304664523</c:v>
                  </c:pt>
                  <c:pt idx="4">
                    <c:v>1,74367937</c:v>
                  </c:pt>
                  <c:pt idx="5">
                    <c:v>-23,03935411</c:v>
                  </c:pt>
                </c:lvl>
                <c:lvl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lvl>
                <c:lvl>
                  <c:pt idx="0">
                    <c:v>93,09447373</c:v>
                  </c:pt>
                  <c:pt idx="1">
                    <c:v>-21,12066764</c:v>
                  </c:pt>
                  <c:pt idx="2">
                    <c:v>-14,51185872</c:v>
                  </c:pt>
                  <c:pt idx="3">
                    <c:v>-0,548085016</c:v>
                  </c:pt>
                  <c:pt idx="4">
                    <c:v>-1,773912479</c:v>
                  </c:pt>
                  <c:pt idx="6">
                    <c:v>-5,028385629</c:v>
                  </c:pt>
                  <c:pt idx="7">
                    <c:v>-19,25153355</c:v>
                  </c:pt>
                </c:lvl>
                <c:lvl>
                  <c:pt idx="0">
                    <c:v>MGO price (445/890/1335) in Euro/ton</c:v>
                  </c:pt>
                  <c:pt idx="1">
                    <c:v>HTL Reactor equipment cost (62.35/124.7/187.05) in MEuro</c:v>
                  </c:pt>
                  <c:pt idx="2">
                    <c:v>COP price (0/25/100) Euro/ton</c:v>
                  </c:pt>
                  <c:pt idx="3">
                    <c:v>Fixed transport cost price (6/12/18) in Euro/ton</c:v>
                  </c:pt>
                  <c:pt idx="4">
                    <c:v> Variable transport cost price (0.21/0.27/0.33) in Euro/ton-km</c:v>
                  </c:pt>
                  <c:pt idx="5">
                    <c:v>Biofuel Yield (0.3/0.4) in kg biofuel/kg dry biomass</c:v>
                  </c:pt>
                  <c:pt idx="6">
                    <c:v>Contingency factor (15%/50%)</c:v>
                  </c:pt>
                  <c:pt idx="7">
                    <c:v>Installation Factor (150%/250% of TPEC)</c:v>
                  </c:pt>
                </c:lvl>
              </c:multiLvlStrCache>
            </c:multiLvlStrRef>
          </c:cat>
          <c:val>
            <c:numRef>
              <c:f>'MFSP sesnitivity  analysis '!$C$56:$C$61</c:f>
              <c:numCache>
                <c:formatCode>General</c:formatCode>
                <c:ptCount val="6"/>
                <c:pt idx="0">
                  <c:v>93.094473733132347</c:v>
                </c:pt>
                <c:pt idx="1">
                  <c:v>-21.120667644207604</c:v>
                </c:pt>
                <c:pt idx="2">
                  <c:v>-14.511858717100667</c:v>
                </c:pt>
                <c:pt idx="3">
                  <c:v>-0.54808501627795869</c:v>
                </c:pt>
                <c:pt idx="4">
                  <c:v>-1.7739124785639289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60-48A5-AE3F-D1A6B84EB7B1}"/>
            </c:ext>
          </c:extLst>
        </c:ser>
        <c:ser>
          <c:idx val="3"/>
          <c:order val="2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'MFSP sesnitivity  analysis '!$A$56:$G$63</c:f>
              <c:multiLvlStrCache>
                <c:ptCount val="8"/>
                <c:lvl>
                  <c:pt idx="0">
                    <c:v>-31,19377157</c:v>
                  </c:pt>
                  <c:pt idx="1">
                    <c:v>20,87724715</c:v>
                  </c:pt>
                  <c:pt idx="2">
                    <c:v>40,91686132</c:v>
                  </c:pt>
                  <c:pt idx="3">
                    <c:v>0,304664523</c:v>
                  </c:pt>
                  <c:pt idx="4">
                    <c:v>1,74367937</c:v>
                  </c:pt>
                  <c:pt idx="5">
                    <c:v>-23,03935411</c:v>
                  </c:pt>
                </c:lvl>
                <c:lvl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lvl>
                <c:lvl>
                  <c:pt idx="0">
                    <c:v>93,09447373</c:v>
                  </c:pt>
                  <c:pt idx="1">
                    <c:v>-21,12066764</c:v>
                  </c:pt>
                  <c:pt idx="2">
                    <c:v>-14,51185872</c:v>
                  </c:pt>
                  <c:pt idx="3">
                    <c:v>-0,548085016</c:v>
                  </c:pt>
                  <c:pt idx="4">
                    <c:v>-1,773912479</c:v>
                  </c:pt>
                  <c:pt idx="6">
                    <c:v>-5,028385629</c:v>
                  </c:pt>
                  <c:pt idx="7">
                    <c:v>-19,25153355</c:v>
                  </c:pt>
                </c:lvl>
                <c:lvl>
                  <c:pt idx="0">
                    <c:v>MGO price (445/890/1335) in Euro/ton</c:v>
                  </c:pt>
                  <c:pt idx="1">
                    <c:v>HTL Reactor equipment cost (62.35/124.7/187.05) in MEuro</c:v>
                  </c:pt>
                  <c:pt idx="2">
                    <c:v>COP price (0/25/100) Euro/ton</c:v>
                  </c:pt>
                  <c:pt idx="3">
                    <c:v>Fixed transport cost price (6/12/18) in Euro/ton</c:v>
                  </c:pt>
                  <c:pt idx="4">
                    <c:v> Variable transport cost price (0.21/0.27/0.33) in Euro/ton-km</c:v>
                  </c:pt>
                  <c:pt idx="5">
                    <c:v>Biofuel Yield (0.3/0.4) in kg biofuel/kg dry biomass</c:v>
                  </c:pt>
                  <c:pt idx="6">
                    <c:v>Contingency factor (15%/50%)</c:v>
                  </c:pt>
                  <c:pt idx="7">
                    <c:v>Installation Factor (150%/250% of TPEC)</c:v>
                  </c:pt>
                </c:lvl>
              </c:multiLvlStrCache>
            </c:multiLvlStrRef>
          </c:cat>
          <c:val>
            <c:numRef>
              <c:f>'MFSP sesnitivity  analysis '!$E$56:$E$61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860-48A5-AE3F-D1A6B84EB7B1}"/>
            </c:ext>
          </c:extLst>
        </c:ser>
        <c:ser>
          <c:idx val="4"/>
          <c:order val="3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'MFSP sesnitivity  analysis '!$A$56:$G$63</c:f>
              <c:multiLvlStrCache>
                <c:ptCount val="8"/>
                <c:lvl>
                  <c:pt idx="0">
                    <c:v>-31,19377157</c:v>
                  </c:pt>
                  <c:pt idx="1">
                    <c:v>20,87724715</c:v>
                  </c:pt>
                  <c:pt idx="2">
                    <c:v>40,91686132</c:v>
                  </c:pt>
                  <c:pt idx="3">
                    <c:v>0,304664523</c:v>
                  </c:pt>
                  <c:pt idx="4">
                    <c:v>1,74367937</c:v>
                  </c:pt>
                  <c:pt idx="5">
                    <c:v>-23,03935411</c:v>
                  </c:pt>
                </c:lvl>
                <c:lvl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lvl>
                <c:lvl>
                  <c:pt idx="0">
                    <c:v>93,09447373</c:v>
                  </c:pt>
                  <c:pt idx="1">
                    <c:v>-21,12066764</c:v>
                  </c:pt>
                  <c:pt idx="2">
                    <c:v>-14,51185872</c:v>
                  </c:pt>
                  <c:pt idx="3">
                    <c:v>-0,548085016</c:v>
                  </c:pt>
                  <c:pt idx="4">
                    <c:v>-1,773912479</c:v>
                  </c:pt>
                  <c:pt idx="6">
                    <c:v>-5,028385629</c:v>
                  </c:pt>
                  <c:pt idx="7">
                    <c:v>-19,25153355</c:v>
                  </c:pt>
                </c:lvl>
                <c:lvl>
                  <c:pt idx="0">
                    <c:v>MGO price (445/890/1335) in Euro/ton</c:v>
                  </c:pt>
                  <c:pt idx="1">
                    <c:v>HTL Reactor equipment cost (62.35/124.7/187.05) in MEuro</c:v>
                  </c:pt>
                  <c:pt idx="2">
                    <c:v>COP price (0/25/100) Euro/ton</c:v>
                  </c:pt>
                  <c:pt idx="3">
                    <c:v>Fixed transport cost price (6/12/18) in Euro/ton</c:v>
                  </c:pt>
                  <c:pt idx="4">
                    <c:v> Variable transport cost price (0.21/0.27/0.33) in Euro/ton-km</c:v>
                  </c:pt>
                  <c:pt idx="5">
                    <c:v>Biofuel Yield (0.3/0.4) in kg biofuel/kg dry biomass</c:v>
                  </c:pt>
                  <c:pt idx="6">
                    <c:v>Contingency factor (15%/50%)</c:v>
                  </c:pt>
                  <c:pt idx="7">
                    <c:v>Installation Factor (150%/250% of TPEC)</c:v>
                  </c:pt>
                </c:lvl>
              </c:multiLvlStrCache>
            </c:multiLvlStrRef>
          </c:cat>
          <c:val>
            <c:numRef>
              <c:f>'MFSP sesnitivity  analysis '!$F$56:$F$61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4-5860-48A5-AE3F-D1A6B84EB7B1}"/>
            </c:ext>
          </c:extLst>
        </c:ser>
        <c:ser>
          <c:idx val="5"/>
          <c:order val="4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'MFSP sesnitivity  analysis '!$A$56:$G$63</c:f>
              <c:multiLvlStrCache>
                <c:ptCount val="8"/>
                <c:lvl>
                  <c:pt idx="0">
                    <c:v>-31,19377157</c:v>
                  </c:pt>
                  <c:pt idx="1">
                    <c:v>20,87724715</c:v>
                  </c:pt>
                  <c:pt idx="2">
                    <c:v>40,91686132</c:v>
                  </c:pt>
                  <c:pt idx="3">
                    <c:v>0,304664523</c:v>
                  </c:pt>
                  <c:pt idx="4">
                    <c:v>1,74367937</c:v>
                  </c:pt>
                  <c:pt idx="5">
                    <c:v>-23,03935411</c:v>
                  </c:pt>
                </c:lvl>
                <c:lvl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</c:lvl>
                <c:lvl>
                  <c:pt idx="0">
                    <c:v>93,09447373</c:v>
                  </c:pt>
                  <c:pt idx="1">
                    <c:v>-21,12066764</c:v>
                  </c:pt>
                  <c:pt idx="2">
                    <c:v>-14,51185872</c:v>
                  </c:pt>
                  <c:pt idx="3">
                    <c:v>-0,548085016</c:v>
                  </c:pt>
                  <c:pt idx="4">
                    <c:v>-1,773912479</c:v>
                  </c:pt>
                  <c:pt idx="6">
                    <c:v>-5,028385629</c:v>
                  </c:pt>
                  <c:pt idx="7">
                    <c:v>-19,25153355</c:v>
                  </c:pt>
                </c:lvl>
                <c:lvl>
                  <c:pt idx="0">
                    <c:v>MGO price (445/890/1335) in Euro/ton</c:v>
                  </c:pt>
                  <c:pt idx="1">
                    <c:v>HTL Reactor equipment cost (62.35/124.7/187.05) in MEuro</c:v>
                  </c:pt>
                  <c:pt idx="2">
                    <c:v>COP price (0/25/100) Euro/ton</c:v>
                  </c:pt>
                  <c:pt idx="3">
                    <c:v>Fixed transport cost price (6/12/18) in Euro/ton</c:v>
                  </c:pt>
                  <c:pt idx="4">
                    <c:v> Variable transport cost price (0.21/0.27/0.33) in Euro/ton-km</c:v>
                  </c:pt>
                  <c:pt idx="5">
                    <c:v>Biofuel Yield (0.3/0.4) in kg biofuel/kg dry biomass</c:v>
                  </c:pt>
                  <c:pt idx="6">
                    <c:v>Contingency factor (15%/50%)</c:v>
                  </c:pt>
                  <c:pt idx="7">
                    <c:v>Installation Factor (150%/250% of TPEC)</c:v>
                  </c:pt>
                </c:lvl>
              </c:multiLvlStrCache>
            </c:multiLvlStrRef>
          </c:cat>
          <c:val>
            <c:numRef>
              <c:f>'MFSP sesnitivity  analysis '!$G$56:$G$61</c:f>
              <c:numCache>
                <c:formatCode>General</c:formatCode>
                <c:ptCount val="6"/>
                <c:pt idx="0">
                  <c:v>-31.193771573427043</c:v>
                </c:pt>
                <c:pt idx="1">
                  <c:v>20.877247150633202</c:v>
                </c:pt>
                <c:pt idx="2">
                  <c:v>40.916861316699396</c:v>
                </c:pt>
                <c:pt idx="3">
                  <c:v>0.30466452270356958</c:v>
                </c:pt>
                <c:pt idx="4">
                  <c:v>1.7436793697349247</c:v>
                </c:pt>
                <c:pt idx="5">
                  <c:v>-23.039354106916068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860-48A5-AE3F-D1A6B84EB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7184175"/>
        <c:axId val="1547192815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</c:spPr>
                <c:invertIfNegative val="0"/>
                <c:cat>
                  <c:multiLvlStrRef>
                    <c:extLst>
                      <c:ext uri="{02D57815-91ED-43cb-92C2-25804820EDAC}">
                        <c15:formulaRef>
                          <c15:sqref>'MFSP sesnitivity  analysis '!$A$56:$G$63</c15:sqref>
                        </c15:formulaRef>
                      </c:ext>
                    </c:extLst>
                    <c:multiLvlStrCache>
                      <c:ptCount val="8"/>
                      <c:lvl>
                        <c:pt idx="0">
                          <c:v>-31,19377157</c:v>
                        </c:pt>
                        <c:pt idx="1">
                          <c:v>20,87724715</c:v>
                        </c:pt>
                        <c:pt idx="2">
                          <c:v>40,91686132</c:v>
                        </c:pt>
                        <c:pt idx="3">
                          <c:v>0,304664523</c:v>
                        </c:pt>
                        <c:pt idx="4">
                          <c:v>1,74367937</c:v>
                        </c:pt>
                        <c:pt idx="5">
                          <c:v>-23,03935411</c:v>
                        </c:pt>
                      </c:lvl>
                      <c:lvl>
                        <c:pt idx="0">
                          <c:v>0</c:v>
                        </c:pt>
                        <c:pt idx="1">
                          <c:v>0</c:v>
                        </c:pt>
                        <c:pt idx="2">
                          <c:v>0</c:v>
                        </c:pt>
                        <c:pt idx="3">
                          <c:v>0</c:v>
                        </c:pt>
                        <c:pt idx="4">
                          <c:v>0</c:v>
                        </c:pt>
                        <c:pt idx="5">
                          <c:v>0</c:v>
                        </c:pt>
                        <c:pt idx="6">
                          <c:v>0</c:v>
                        </c:pt>
                        <c:pt idx="7">
                          <c:v>0</c:v>
                        </c:pt>
                      </c:lvl>
                      <c:lvl>
                        <c:pt idx="0">
                          <c:v>93,09447373</c:v>
                        </c:pt>
                        <c:pt idx="1">
                          <c:v>-21,12066764</c:v>
                        </c:pt>
                        <c:pt idx="2">
                          <c:v>-14,51185872</c:v>
                        </c:pt>
                        <c:pt idx="3">
                          <c:v>-0,548085016</c:v>
                        </c:pt>
                        <c:pt idx="4">
                          <c:v>-1,773912479</c:v>
                        </c:pt>
                        <c:pt idx="6">
                          <c:v>-5,028385629</c:v>
                        </c:pt>
                        <c:pt idx="7">
                          <c:v>-19,25153355</c:v>
                        </c:pt>
                      </c:lvl>
                      <c:lvl>
                        <c:pt idx="0">
                          <c:v>MGO price (445/890/1335) in Euro/ton</c:v>
                        </c:pt>
                        <c:pt idx="1">
                          <c:v>HTL Reactor equipment cost (62.35/124.7/187.05) in MEuro</c:v>
                        </c:pt>
                        <c:pt idx="2">
                          <c:v>COP price (0/25/100) Euro/ton</c:v>
                        </c:pt>
                        <c:pt idx="3">
                          <c:v>Fixed transport cost price (6/12/18) in Euro/ton</c:v>
                        </c:pt>
                        <c:pt idx="4">
                          <c:v> Variable transport cost price (0.21/0.27/0.33) in Euro/ton-km</c:v>
                        </c:pt>
                        <c:pt idx="5">
                          <c:v>Biofuel Yield (0.3/0.4) in kg biofuel/kg dry biomass</c:v>
                        </c:pt>
                        <c:pt idx="6">
                          <c:v>Contingency factor (15%/50%)</c:v>
                        </c:pt>
                        <c:pt idx="7">
                          <c:v>Installation Factor (150%/250% of TPEC)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'MFSP sesnitivity  analysis '!$B$56:$B$61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860-48A5-AE3F-D1A6B84EB7B1}"/>
                  </c:ext>
                </c:extLst>
              </c15:ser>
            </c15:filteredBarSeries>
          </c:ext>
        </c:extLst>
      </c:barChart>
      <c:catAx>
        <c:axId val="1547184175"/>
        <c:scaling>
          <c:orientation val="minMax"/>
        </c:scaling>
        <c:delete val="0"/>
        <c:axPos val="l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baseline="0">
                <a:ln>
                  <a:noFill/>
                </a:ln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47192815"/>
        <c:crossesAt val="-40"/>
        <c:auto val="0"/>
        <c:lblAlgn val="ctr"/>
        <c:lblOffset val="100"/>
        <c:noMultiLvlLbl val="0"/>
      </c:catAx>
      <c:valAx>
        <c:axId val="1547192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/>
                  <a:t>Change of</a:t>
                </a:r>
                <a:r>
                  <a:rPr lang="nl-NL" sz="1200" baseline="0"/>
                  <a:t> MBF:fossil MFSP ratio in %</a:t>
                </a:r>
                <a:endParaRPr lang="nl-NL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471841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accent1">
          <a:alpha val="97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'MFSP sesnitivity  analysis '!$A$56:$A$63</c:f>
              <c:strCache>
                <c:ptCount val="8"/>
                <c:pt idx="0">
                  <c:v>MGO price (445/890/1335) in Euro/ton</c:v>
                </c:pt>
                <c:pt idx="1">
                  <c:v>HTL Reactor equipment cost (62.35/124.7/187.05) in MEuro</c:v>
                </c:pt>
                <c:pt idx="2">
                  <c:v>COP price (0/25/100) Euro/ton</c:v>
                </c:pt>
                <c:pt idx="3">
                  <c:v>Fixed transport cost price (6/12/18) in Euro/ton</c:v>
                </c:pt>
                <c:pt idx="4">
                  <c:v> Variable transport cost price (0.21/0.27/0.33) in Euro/ton-km</c:v>
                </c:pt>
                <c:pt idx="5">
                  <c:v>Biofuel Yield (0.3/0.4) in kg biofuel/kg dry biomass</c:v>
                </c:pt>
                <c:pt idx="6">
                  <c:v>Contingency factor (15%/50%)</c:v>
                </c:pt>
                <c:pt idx="7">
                  <c:v>Installation Factor (150%/250% of TPEC)</c:v>
                </c:pt>
              </c:strCache>
            </c:strRef>
          </c:cat>
          <c:val>
            <c:numRef>
              <c:f>'MFSP sesnitivity  analysis '!$C$56:$C$63</c:f>
              <c:numCache>
                <c:formatCode>General</c:formatCode>
                <c:ptCount val="8"/>
                <c:pt idx="0">
                  <c:v>93.094473733132347</c:v>
                </c:pt>
                <c:pt idx="1">
                  <c:v>-21.120667644207604</c:v>
                </c:pt>
                <c:pt idx="2">
                  <c:v>-14.511858717100667</c:v>
                </c:pt>
                <c:pt idx="3">
                  <c:v>-0.54808501627795869</c:v>
                </c:pt>
                <c:pt idx="4">
                  <c:v>-1.7739124785639289</c:v>
                </c:pt>
                <c:pt idx="6">
                  <c:v>-5.0283856286119004</c:v>
                </c:pt>
                <c:pt idx="7">
                  <c:v>-19.251533549542724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CD-427A-86C4-3A0CAF1DF8C1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'MFSP sesnitivity  analysis '!$A$56:$A$63</c:f>
              <c:strCache>
                <c:ptCount val="8"/>
                <c:pt idx="0">
                  <c:v>MGO price (445/890/1335) in Euro/ton</c:v>
                </c:pt>
                <c:pt idx="1">
                  <c:v>HTL Reactor equipment cost (62.35/124.7/187.05) in MEuro</c:v>
                </c:pt>
                <c:pt idx="2">
                  <c:v>COP price (0/25/100) Euro/ton</c:v>
                </c:pt>
                <c:pt idx="3">
                  <c:v>Fixed transport cost price (6/12/18) in Euro/ton</c:v>
                </c:pt>
                <c:pt idx="4">
                  <c:v> Variable transport cost price (0.21/0.27/0.33) in Euro/ton-km</c:v>
                </c:pt>
                <c:pt idx="5">
                  <c:v>Biofuel Yield (0.3/0.4) in kg biofuel/kg dry biomass</c:v>
                </c:pt>
                <c:pt idx="6">
                  <c:v>Contingency factor (15%/50%)</c:v>
                </c:pt>
                <c:pt idx="7">
                  <c:v>Installation Factor (150%/250% of TPEC)</c:v>
                </c:pt>
              </c:strCache>
            </c:strRef>
          </c:cat>
          <c:val>
            <c:numRef>
              <c:f>'MFSP sesnitivity  analysis '!$E$56:$E$63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CD-427A-86C4-3A0CAF1DF8C1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'MFSP sesnitivity  analysis '!$A$56:$A$63</c:f>
              <c:strCache>
                <c:ptCount val="8"/>
                <c:pt idx="0">
                  <c:v>MGO price (445/890/1335) in Euro/ton</c:v>
                </c:pt>
                <c:pt idx="1">
                  <c:v>HTL Reactor equipment cost (62.35/124.7/187.05) in MEuro</c:v>
                </c:pt>
                <c:pt idx="2">
                  <c:v>COP price (0/25/100) Euro/ton</c:v>
                </c:pt>
                <c:pt idx="3">
                  <c:v>Fixed transport cost price (6/12/18) in Euro/ton</c:v>
                </c:pt>
                <c:pt idx="4">
                  <c:v> Variable transport cost price (0.21/0.27/0.33) in Euro/ton-km</c:v>
                </c:pt>
                <c:pt idx="5">
                  <c:v>Biofuel Yield (0.3/0.4) in kg biofuel/kg dry biomass</c:v>
                </c:pt>
                <c:pt idx="6">
                  <c:v>Contingency factor (15%/50%)</c:v>
                </c:pt>
                <c:pt idx="7">
                  <c:v>Installation Factor (150%/250% of TPEC)</c:v>
                </c:pt>
              </c:strCache>
            </c:strRef>
          </c:cat>
          <c:val>
            <c:numRef>
              <c:f>'MFSP sesnitivity  analysis '!$G$56:$G$63</c:f>
              <c:numCache>
                <c:formatCode>General</c:formatCode>
                <c:ptCount val="8"/>
                <c:pt idx="0">
                  <c:v>-31.193771573427043</c:v>
                </c:pt>
                <c:pt idx="1">
                  <c:v>20.877247150633202</c:v>
                </c:pt>
                <c:pt idx="2">
                  <c:v>40.916861316699396</c:v>
                </c:pt>
                <c:pt idx="3">
                  <c:v>0.30466452270356958</c:v>
                </c:pt>
                <c:pt idx="4">
                  <c:v>1.7436793697349247</c:v>
                </c:pt>
                <c:pt idx="5">
                  <c:v>-23.039354106916068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BCD-427A-86C4-3A0CAF1DF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53825200"/>
        <c:axId val="19538256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'MFSP sesnitivity  analysis '!$C$55:$G$55</c15:sqref>
                        </c15:formulaRef>
                      </c:ext>
                    </c:extLst>
                    <c:strCache>
                      <c:ptCount val="1"/>
                      <c:pt idx="0">
                        <c:v>Pessimistic Base Optimistic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'MFSP sesnitivity  analysis '!$A$56:$A$63</c15:sqref>
                        </c15:formulaRef>
                      </c:ext>
                    </c:extLst>
                    <c:strCache>
                      <c:ptCount val="8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COP price (0/25/100) Euro/ton</c:v>
                      </c:pt>
                      <c:pt idx="3">
                        <c:v>Fixed transport cost price (6/12/18) in Euro/ton</c:v>
                      </c:pt>
                      <c:pt idx="4">
                        <c:v> Variable transport cost price (0.21/0.27/0.33) in Euro/ton-km</c:v>
                      </c:pt>
                      <c:pt idx="5">
                        <c:v>Biofuel Yield (0.3/0.4) in kg biofuel/kg dry biomass</c:v>
                      </c:pt>
                      <c:pt idx="6">
                        <c:v>Contingency factor (15%/50%)</c:v>
                      </c:pt>
                      <c:pt idx="7">
                        <c:v>Installation Factor (150%/250% of TPEC)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'MFSP sesnitivity  analysis '!$B$56:$B$63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CBCD-427A-86C4-3A0CAF1DF8C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sesnitivity  analysis '!$A$56:$A$63</c15:sqref>
                        </c15:formulaRef>
                      </c:ext>
                    </c:extLst>
                    <c:strCache>
                      <c:ptCount val="8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COP price (0/25/100) Euro/ton</c:v>
                      </c:pt>
                      <c:pt idx="3">
                        <c:v>Fixed transport cost price (6/12/18) in Euro/ton</c:v>
                      </c:pt>
                      <c:pt idx="4">
                        <c:v> Variable transport cost price (0.21/0.27/0.33) in Euro/ton-km</c:v>
                      </c:pt>
                      <c:pt idx="5">
                        <c:v>Biofuel Yield (0.3/0.4) in kg biofuel/kg dry biomass</c:v>
                      </c:pt>
                      <c:pt idx="6">
                        <c:v>Contingency factor (15%/50%)</c:v>
                      </c:pt>
                      <c:pt idx="7">
                        <c:v>Installation Factor (150%/250% of TPEC)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sesnitivity  analysis '!$D$56:$D$63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BCD-427A-86C4-3A0CAF1DF8C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sesnitivity  analysis '!$A$56:$A$63</c15:sqref>
                        </c15:formulaRef>
                      </c:ext>
                    </c:extLst>
                    <c:strCache>
                      <c:ptCount val="8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COP price (0/25/100) Euro/ton</c:v>
                      </c:pt>
                      <c:pt idx="3">
                        <c:v>Fixed transport cost price (6/12/18) in Euro/ton</c:v>
                      </c:pt>
                      <c:pt idx="4">
                        <c:v> Variable transport cost price (0.21/0.27/0.33) in Euro/ton-km</c:v>
                      </c:pt>
                      <c:pt idx="5">
                        <c:v>Biofuel Yield (0.3/0.4) in kg biofuel/kg dry biomass</c:v>
                      </c:pt>
                      <c:pt idx="6">
                        <c:v>Contingency factor (15%/50%)</c:v>
                      </c:pt>
                      <c:pt idx="7">
                        <c:v>Installation Factor (150%/250% of TPEC)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sesnitivity  analysis '!$F$56:$F$63</c15:sqref>
                        </c15:formulaRef>
                      </c:ext>
                    </c:extLst>
                    <c:numCache>
                      <c:formatCode>General</c:formatCode>
                      <c:ptCount val="8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CBCD-427A-86C4-3A0CAF1DF8C1}"/>
                  </c:ext>
                </c:extLst>
              </c15:ser>
            </c15:filteredBarSeries>
          </c:ext>
        </c:extLst>
      </c:barChart>
      <c:catAx>
        <c:axId val="1953825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53825680"/>
        <c:crosses val="autoZero"/>
        <c:auto val="1"/>
        <c:lblAlgn val="ctr"/>
        <c:lblOffset val="100"/>
        <c:noMultiLvlLbl val="0"/>
      </c:catAx>
      <c:valAx>
        <c:axId val="195382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200" b="1" i="0" u="none" strike="noStrike" kern="1200" baseline="0">
                    <a:solidFill>
                      <a:srgbClr val="44546A"/>
                    </a:solidFill>
                  </a:rPr>
                  <a:t>Change of MBF:fossil MFSP ratio in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53825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Distribution</a:t>
            </a:r>
            <a:r>
              <a:rPr lang="nl-NL" baseline="0"/>
              <a:t> of TCI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4B-447C-8024-9BB4232F4A4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4B-447C-8024-9BB4232F4A4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4B-447C-8024-9BB4232F4A4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4B-447C-8024-9BB4232F4A4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4B-447C-8024-9BB4232F4A4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4B-447C-8024-9BB4232F4A4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4B-447C-8024-9BB4232F4A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'MFSP play '!$I$16:$I$22</c:f>
              <c:strCache>
                <c:ptCount val="7"/>
                <c:pt idx="0">
                  <c:v>Total Purchased Equipment Cost</c:v>
                </c:pt>
                <c:pt idx="1">
                  <c:v>Installation Costs</c:v>
                </c:pt>
                <c:pt idx="2">
                  <c:v>Indirect Costs</c:v>
                </c:pt>
                <c:pt idx="3">
                  <c:v>Contractor's Fee</c:v>
                </c:pt>
                <c:pt idx="4">
                  <c:v>Contingency</c:v>
                </c:pt>
                <c:pt idx="5">
                  <c:v>Working Capital</c:v>
                </c:pt>
                <c:pt idx="6">
                  <c:v>Start-up Costs</c:v>
                </c:pt>
              </c:strCache>
            </c:strRef>
          </c:cat>
          <c:val>
            <c:numRef>
              <c:f>'MFSP play '!$K$16:$K$22</c:f>
              <c:numCache>
                <c:formatCode>0.0</c:formatCode>
                <c:ptCount val="7"/>
                <c:pt idx="0">
                  <c:v>31.127813329288266</c:v>
                </c:pt>
                <c:pt idx="1">
                  <c:v>46.691719993932395</c:v>
                </c:pt>
                <c:pt idx="2">
                  <c:v>26.458641329895027</c:v>
                </c:pt>
                <c:pt idx="3">
                  <c:v>7.159397065736302</c:v>
                </c:pt>
                <c:pt idx="4">
                  <c:v>15.563906664644133</c:v>
                </c:pt>
                <c:pt idx="5">
                  <c:v>6.2154752125537751</c:v>
                </c:pt>
                <c:pt idx="6">
                  <c:v>12.700147838349615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64B-447C-8024-9BB4232F4A4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Split</a:t>
            </a:r>
            <a:r>
              <a:rPr lang="nl-NL" baseline="0"/>
              <a:t> of Variable Costs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F46-43BB-BD2A-A414ADDDE19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F46-43BB-BD2A-A414ADDDE19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F46-43BB-BD2A-A414ADDDE19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F46-43BB-BD2A-A414ADDDE19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FF46-43BB-BD2A-A414ADDDE19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FF46-43BB-BD2A-A414ADDDE19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FF46-43BB-BD2A-A414ADDDE19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FF46-43BB-BD2A-A414ADDDE19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FF46-43BB-BD2A-A414ADDDE1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'MFSP play '!$I$26:$I$34</c:f>
              <c:strCache>
                <c:ptCount val="9"/>
                <c:pt idx="0">
                  <c:v>Feedstock</c:v>
                </c:pt>
                <c:pt idx="1">
                  <c:v>Hydrogen</c:v>
                </c:pt>
                <c:pt idx="2">
                  <c:v>WWT</c:v>
                </c:pt>
                <c:pt idx="3">
                  <c:v>Gas cleaning</c:v>
                </c:pt>
                <c:pt idx="4">
                  <c:v>Ash Disposal</c:v>
                </c:pt>
                <c:pt idx="5">
                  <c:v>Catalysts</c:v>
                </c:pt>
                <c:pt idx="6">
                  <c:v>Natural gas</c:v>
                </c:pt>
                <c:pt idx="7">
                  <c:v>Water</c:v>
                </c:pt>
                <c:pt idx="8">
                  <c:v>Biofuel Transportation</c:v>
                </c:pt>
              </c:strCache>
            </c:strRef>
          </c:cat>
          <c:val>
            <c:numRef>
              <c:f>'MFSP play '!$K$26:$K$34</c:f>
              <c:numCache>
                <c:formatCode>0.0</c:formatCode>
                <c:ptCount val="9"/>
                <c:pt idx="0">
                  <c:v>42.025561000688199</c:v>
                </c:pt>
                <c:pt idx="1">
                  <c:v>1.5598990415545421E-2</c:v>
                </c:pt>
                <c:pt idx="2">
                  <c:v>0.82702318132200359</c:v>
                </c:pt>
                <c:pt idx="3">
                  <c:v>15.896694889229202</c:v>
                </c:pt>
                <c:pt idx="4">
                  <c:v>5.685994298899768</c:v>
                </c:pt>
                <c:pt idx="5">
                  <c:v>8.5109773264193382</c:v>
                </c:pt>
                <c:pt idx="6">
                  <c:v>0</c:v>
                </c:pt>
                <c:pt idx="7">
                  <c:v>0.13594881558579561</c:v>
                </c:pt>
                <c:pt idx="8">
                  <c:v>26.902201497440153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85-4232-992B-44B2ACDF66A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_xlchart.v1.5</cx:f>
      </cx:strDim>
      <cx:numDim type="val">
        <cx:f dir="row">_xlchart.v1.6</cx:f>
      </cx:numDim>
    </cx:data>
    <cx:data id="1">
      <cx:strDim type="cat">
        <cx:f dir="row">_xlchart.v1.5</cx:f>
      </cx:strDim>
      <cx:numDim type="val">
        <cx:f dir="row">_xlchart.v1.7</cx:f>
      </cx:numDim>
    </cx:data>
    <cx:data id="2">
      <cx:strDim type="cat">
        <cx:f dir="row">_xlchart.v1.5</cx:f>
      </cx:strDim>
      <cx:numDim type="val">
        <cx:f dir="row">_xlchart.v1.8</cx:f>
      </cx:numDim>
    </cx:data>
    <cx:data id="3">
      <cx:strDim type="cat">
        <cx:f dir="row">_xlchart.v1.5</cx:f>
      </cx:strDim>
      <cx:numDim type="val">
        <cx:f dir="row">_xlchart.v1.9</cx:f>
      </cx:numDim>
    </cx:data>
    <cx:data id="4">
      <cx:strDim type="cat">
        <cx:f dir="row">_xlchart.v1.5</cx:f>
      </cx:strDim>
      <cx:numDim type="val">
        <cx:f dir="row">_xlchart.v1.10</cx:f>
      </cx:numDim>
    </cx:data>
  </cx:chartData>
  <cx:chart>
    <cx:title pos="t" align="ctr" overlay="0">
      <cx:tx>
        <cx:txData>
          <cx:v/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en-US" sz="14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title>
    <cx:plotArea>
      <cx:plotAreaRegion>
        <cx:series layoutId="boxWhisker" uniqueId="{D4399C06-AEB0-4F62-B869-B5476778E74A}">
          <cx:tx>
            <cx:txData>
              <cx:f>_xlchart.v1.0</cx:f>
              <cx:v>0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FC83470A-6737-4DDD-8447-2ABCE603229B}">
          <cx:tx>
            <cx:txData>
              <cx:f>_xlchart.v1.1</cx:f>
              <cx:v>1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5D0E23BD-D62A-4441-AC19-ADFF9A632A1B}">
          <cx:tx>
            <cx:txData>
              <cx:f>_xlchart.v1.2</cx:f>
              <cx:v>Base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B860323F-11D5-4673-95EF-C05C7AE25D6C}">
          <cx:tx>
            <cx:txData>
              <cx:f>_xlchart.v1.3</cx:f>
              <cx:v>2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6AFB300B-A0FE-4354-8DB4-B3B2608007D2}">
          <cx:tx>
            <cx:txData>
              <cx:f>_xlchart.v1.4</cx:f>
              <cx:v>3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microsoft.com/office/2014/relationships/chartEx" Target="../charts/chartEx1.xml"/><Relationship Id="rId4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30</xdr:row>
      <xdr:rowOff>0</xdr:rowOff>
    </xdr:from>
    <xdr:to>
      <xdr:col>9</xdr:col>
      <xdr:colOff>457200</xdr:colOff>
      <xdr:row>30</xdr:row>
      <xdr:rowOff>6350</xdr:rowOff>
    </xdr:to>
    <xdr:grpSp>
      <xdr:nvGrpSpPr>
        <xdr:cNvPr id="2" name="docshapegroup5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7048500" y="5442857"/>
          <a:ext cx="3160486" cy="6350"/>
          <a:chOff x="0" y="0"/>
          <a:chExt cx="3602" cy="10"/>
        </a:xfrm>
      </xdr:grpSpPr>
      <xdr:sp macro="" textlink="">
        <xdr:nvSpPr>
          <xdr:cNvPr id="3" name="docshape5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0" y="0"/>
            <a:ext cx="3602" cy="10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635000</xdr:colOff>
      <xdr:row>1</xdr:row>
      <xdr:rowOff>57150</xdr:rowOff>
    </xdr:from>
    <xdr:to>
      <xdr:col>5</xdr:col>
      <xdr:colOff>495345</xdr:colOff>
      <xdr:row>12</xdr:row>
      <xdr:rowOff>132945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0" y="241300"/>
          <a:ext cx="4197395" cy="21014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23</xdr:row>
      <xdr:rowOff>85725</xdr:rowOff>
    </xdr:from>
    <xdr:to>
      <xdr:col>12</xdr:col>
      <xdr:colOff>298450</xdr:colOff>
      <xdr:row>38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0E11E4-3333-0B0A-8A87-19C44BE686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122237</xdr:colOff>
      <xdr:row>2</xdr:row>
      <xdr:rowOff>39687</xdr:rowOff>
    </xdr:from>
    <xdr:to>
      <xdr:col>13</xdr:col>
      <xdr:colOff>427037</xdr:colOff>
      <xdr:row>17</xdr:row>
      <xdr:rowOff>74612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035BA7-CFC3-5240-0F1C-08F6603480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17</xdr:row>
      <xdr:rowOff>49212</xdr:rowOff>
    </xdr:from>
    <xdr:to>
      <xdr:col>2</xdr:col>
      <xdr:colOff>1852612</xdr:colOff>
      <xdr:row>32</xdr:row>
      <xdr:rowOff>84137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E9A996B-C20C-E210-BDBF-8653ABAA98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1800225</xdr:colOff>
      <xdr:row>16</xdr:row>
      <xdr:rowOff>117475</xdr:rowOff>
    </xdr:from>
    <xdr:to>
      <xdr:col>10</xdr:col>
      <xdr:colOff>422276</xdr:colOff>
      <xdr:row>43</xdr:row>
      <xdr:rowOff>82549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C51F7C-7FD3-E4F1-3083-D912F8EC07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296862</xdr:colOff>
      <xdr:row>25</xdr:row>
      <xdr:rowOff>77787</xdr:rowOff>
    </xdr:from>
    <xdr:to>
      <xdr:col>18</xdr:col>
      <xdr:colOff>601662</xdr:colOff>
      <xdr:row>40</xdr:row>
      <xdr:rowOff>112712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Chart 12">
              <a:extLst>
                <a:ext uri="{FF2B5EF4-FFF2-40B4-BE49-F238E27FC236}">
                  <a16:creationId xmlns:a16="http://schemas.microsoft.com/office/drawing/2014/main" id="{D2FFE5C8-801B-3F89-BB9B-708E3F0A53B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561762" y="4681537"/>
              <a:ext cx="4572000" cy="27971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nl-NL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338136</xdr:colOff>
      <xdr:row>24</xdr:row>
      <xdr:rowOff>76200</xdr:rowOff>
    </xdr:from>
    <xdr:to>
      <xdr:col>20</xdr:col>
      <xdr:colOff>126999</xdr:colOff>
      <xdr:row>46</xdr:row>
      <xdr:rowOff>17462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8C6AA1-1BB4-BCB6-079D-4905B5E709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1816</xdr:colOff>
      <xdr:row>29</xdr:row>
      <xdr:rowOff>94796</xdr:rowOff>
    </xdr:from>
    <xdr:to>
      <xdr:col>25</xdr:col>
      <xdr:colOff>412977</xdr:colOff>
      <xdr:row>59</xdr:row>
      <xdr:rowOff>37645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685058B-84EE-4B87-17BE-40FDC4445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340179</xdr:colOff>
      <xdr:row>59</xdr:row>
      <xdr:rowOff>166007</xdr:rowOff>
    </xdr:from>
    <xdr:to>
      <xdr:col>26</xdr:col>
      <xdr:colOff>72572</xdr:colOff>
      <xdr:row>86</xdr:row>
      <xdr:rowOff>63500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C590AFF-082F-7744-7519-B8816B473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520700</xdr:colOff>
      <xdr:row>4</xdr:row>
      <xdr:rowOff>173037</xdr:rowOff>
    </xdr:from>
    <xdr:to>
      <xdr:col>19</xdr:col>
      <xdr:colOff>219075</xdr:colOff>
      <xdr:row>20</xdr:row>
      <xdr:rowOff>20637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1D2E45-5756-4ACC-98EC-5959037A7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425450</xdr:colOff>
      <xdr:row>23</xdr:row>
      <xdr:rowOff>46037</xdr:rowOff>
    </xdr:from>
    <xdr:to>
      <xdr:col>19</xdr:col>
      <xdr:colOff>123825</xdr:colOff>
      <xdr:row>38</xdr:row>
      <xdr:rowOff>58737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607D5E-19EA-9782-191E-B9138675E4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523875</xdr:colOff>
      <xdr:row>5</xdr:row>
      <xdr:rowOff>28575</xdr:rowOff>
    </xdr:from>
    <xdr:to>
      <xdr:col>34</xdr:col>
      <xdr:colOff>3175</xdr:colOff>
      <xdr:row>34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759BF97-CAA5-A545-A8DF-E8FC1AA8E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48A99D3E-CBFE-44B4-96AF-62B2DA795D01}">
    <text>Tanzer</text>
  </threadedComment>
  <threadedComment ref="C9" dT="2023-10-11T09:17:30.04" personId="{00000000-0000-0000-0000-000000000000}" id="{820CC11D-255C-4681-A9BD-43A1188D923C}">
    <text>https://www.intratec.us/products/indexes-and-data/commodity-plant-location-factors#west-europe</text>
    <extLst>
      <x:ext xmlns:xltc2="http://schemas.microsoft.com/office/spreadsheetml/2020/threadedcomments2" uri="{F7C98A9C-CBB3-438F-8F68-D28B6AF4A901}">
        <xltc2:checksum>2562980076</xltc2:checksum>
        <xltc2:hyperlink startIndex="0" length="94" url="https://www.intratec.us/products/indexes-and-data/commodity-plant-location-factors#west-europe"/>
      </x:ext>
    </extLst>
  </threadedComment>
  <threadedComment ref="D9" dT="2023-10-11T09:18:01.56" personId="{00000000-0000-0000-0000-000000000000}" id="{55340DC8-56C0-471E-95C3-274D7820850C}">
    <text>For South Africa  https://www.intratec.us/products/industry-economics-worldwide/plant-location-factor/south-africa-plant-location-factor</text>
    <extLst>
      <x:ext xmlns:xltc2="http://schemas.microsoft.com/office/spreadsheetml/2020/threadedcomments2" uri="{F7C98A9C-CBB3-438F-8F68-D28B6AF4A901}">
        <xltc2:checksum>1543120155</xltc2:checksum>
        <xltc2:hyperlink startIndex="18" length="118" url="https://www.intratec.us/products/industry-economics-worldwide/plant-location-factor/south-africa-plant-location-factor"/>
      </x:ext>
    </extLst>
  </threadedComment>
  <threadedComment ref="E9" dT="2023-10-11T09:18:24.59" personId="{00000000-0000-0000-0000-000000000000}" id="{9B33A51B-AA54-49A4-875F-957A3EAF0CDE}">
    <text xml:space="preserve">Brazil </text>
  </threadedComment>
  <threadedComment ref="C22" dT="2023-10-11T07:05:47.74" personId="{00000000-0000-0000-0000-000000000000}" id="{2EE73A2E-A8FF-425F-8610-EF76868D629B}">
    <text>https://ycharts.com/indicators/spain_long_term_interest_rates#:~:text=Spain%20Long%20Term%20Interest%20Rate%20is%20at%203.57%25%2C%20compared%20to,or%20close%20to%2010%20years.</text>
    <extLst>
      <x:ext xmlns:xltc2="http://schemas.microsoft.com/office/spreadsheetml/2020/threadedcomments2" uri="{F7C98A9C-CBB3-438F-8F68-D28B6AF4A901}">
        <xltc2:checksum>3288545989</xltc2:checksum>
        <xltc2:hyperlink startIndex="0" length="175" url="https://ycharts.com/indicators/spain_long_term_interest_rates#:~:text=Spain%20Long%20Term%20Interest%20Rate%20is%20at%203.57%25%2C%20compared%20to,or%20close%20to%2010%20years"/>
      </x:ext>
    </extLst>
  </threadedComment>
  <threadedComment ref="C23" dT="2023-10-11T07:04:46.65" personId="{00000000-0000-0000-0000-000000000000}" id="{4886905A-11E2-4628-9A1F-DF79828F31CB}">
    <text>https://tradingeconomics.com/spain/inflation-cpi</text>
    <extLst>
      <x:ext xmlns:xltc2="http://schemas.microsoft.com/office/spreadsheetml/2020/threadedcomments2" uri="{F7C98A9C-CBB3-438F-8F68-D28B6AF4A901}">
        <xltc2:checksum>4046883138</xltc2:checksum>
        <xltc2:hyperlink startIndex="0" length="48" url="https://tradingeconomics.com/spain/inflation-cpi"/>
      </x:ext>
    </extLst>
  </threadedComment>
  <threadedComment ref="C24" dT="2023-10-11T07:07:23.93" personId="{00000000-0000-0000-0000-000000000000}" id="{A6042F57-FFDE-4F78-92B3-1121117BE842}">
    <text>https://www.statista.com/statistics/664872/average-market-risk-premium-spain-europe/</text>
    <extLst>
      <x:ext xmlns:xltc2="http://schemas.microsoft.com/office/spreadsheetml/2020/threadedcomments2" uri="{F7C98A9C-CBB3-438F-8F68-D28B6AF4A901}">
        <xltc2:checksum>4051715151</xltc2:checksum>
        <xltc2:hyperlink startIndex="0" length="84" url="https://www.statista.com/statistics/664872/average-market-risk-premium-spain-europe/"/>
      </x:ext>
    </extLst>
  </threadedComment>
  <threadedComment ref="A26" dT="2023-10-11T07:14:30.25" personId="{00000000-0000-0000-0000-000000000000}" id="{8B4504F1-13A6-413E-B73F-9E90B892BFCE}">
    <text>Same as Tanzer</text>
  </threadedComment>
  <threadedComment ref="A44" dT="2023-10-11T07:24:35.70" personId="{00000000-0000-0000-0000-000000000000}" id="{A233DABA-767E-4A9B-8103-4DC949F5C0DD}">
    <text>Prices 2023</text>
  </threadedComment>
  <threadedComment ref="A47" dT="2023-10-11T07:24:42.97" personId="{00000000-0000-0000-0000-000000000000}" id="{FCC161C6-8980-47C6-ABED-772DEC6BF8DE}">
    <text>Prices 2023</text>
  </threadedComment>
  <threadedComment ref="A50" dT="2023-10-11T07:32:28.21" personId="{00000000-0000-0000-0000-000000000000}" id="{575C4FD5-E68A-4CD4-B523-05155493FEFC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2" dT="2023-10-11T07:40:37.85" personId="{00000000-0000-0000-0000-000000000000}" id="{1CDF3F88-F8BF-4CE0-9F20-4936A0812DE0}">
    <text>https://www.statista.com/statistics/1267552/spain-monthly-wholesale-electricity-price/</text>
    <extLst>
      <x:ext xmlns:xltc2="http://schemas.microsoft.com/office/spreadsheetml/2020/threadedcomments2" uri="{F7C98A9C-CBB3-438F-8F68-D28B6AF4A901}">
        <xltc2:checksum>238654664</xltc2:checksum>
        <xltc2:hyperlink startIndex="0" length="86" url="https://www.statista.com/statistics/1267552/spain-monthly-wholesale-electricity-price/"/>
      </x:ext>
    </extLst>
  </threadedComment>
  <threadedComment ref="G52" dT="2023-10-11T07:34:42.72" personId="{00000000-0000-0000-0000-000000000000}" id="{621C24B2-02B1-4373-B3D9-3FC1572B35A5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3-10-11T09:23:12.50" personId="{00000000-0000-0000-0000-000000000000}" id="{00F8DD75-ADAA-4948-9C5C-B6C5DE37C33A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H56" dT="2023-10-19T10:05:58.27" personId="{00000000-0000-0000-0000-000000000000}" id="{6CA4DA24-1FB3-4CC0-9F0B-A4345F7B6FEB}">
    <text>https://www.xe.com/currencycharts/?from=EUR&amp;to=USD</text>
    <extLst>
      <x:ext xmlns:xltc2="http://schemas.microsoft.com/office/spreadsheetml/2020/threadedcomments2" uri="{F7C98A9C-CBB3-438F-8F68-D28B6AF4A901}">
        <xltc2:checksum>3675498726</xltc2:checksum>
        <xltc2:hyperlink startIndex="0" length="50" url="https://www.xe.com/currencycharts/?from=EUR&amp;to=USD"/>
      </x:ext>
    </extLst>
  </threadedComment>
  <threadedComment ref="C59" dT="2023-10-11T08:04:25.79" personId="{00000000-0000-0000-0000-000000000000}" id="{C2733A0D-797C-4A9A-9AC2-1A54DF775103}">
    <text>Assumed</text>
  </threadedComment>
  <threadedComment ref="F68" dT="2023-10-11T08:21:07.09" personId="{00000000-0000-0000-0000-000000000000}" id="{8FBEAD1E-0C4C-4291-B688-C1E19348C1ED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111C26F6-31CC-4C8D-A020-9BF95A500673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7399C691-5C33-4CE8-9E01-5CC473B2946E}">
    <text>https://www.iea.org/data-and-statistics/data-tools/levelised-cost-of-electricity-calculator
And extrapolated with power rule in Denmark in excel</text>
    <extLst>
      <x:ext xmlns:xltc2="http://schemas.microsoft.com/office/spreadsheetml/2020/threadedcomments2" uri="{F7C98A9C-CBB3-438F-8F68-D28B6AF4A901}">
        <xltc2:checksum>1501923129</xltc2:checksum>
        <xltc2:hyperlink startIndex="0" length="91" url="https://www.iea.org/data-and-statistics/data-tools/levelised-cost-of-electricity-calculator"/>
      </x:ext>
    </extLs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69BFE536-91C5-421A-8962-2C2569B8B31D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FC38D652-DA2C-42ED-BBB1-30729B06D7A1}">
    <text>Price from PNNL Tews in 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hyperlink" Target="https://www.usinflationcalculator.com/" TargetMode="External"/><Relationship Id="rId4" Type="http://schemas.microsoft.com/office/2017/10/relationships/threadedComment" Target="../threadedComments/threadedComment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178"/>
  <sheetViews>
    <sheetView topLeftCell="A8" zoomScale="70" zoomScaleNormal="70" workbookViewId="0">
      <selection activeCell="C16" sqref="C16"/>
    </sheetView>
  </sheetViews>
  <sheetFormatPr defaultRowHeight="14.5" x14ac:dyDescent="0.35"/>
  <cols>
    <col min="1" max="1" width="43.08984375" customWidth="1"/>
    <col min="2" max="2" width="11.7265625" customWidth="1"/>
    <col min="3" max="4" width="8.7265625" style="16" customWidth="1"/>
    <col min="6" max="6" width="20" customWidth="1"/>
    <col min="8" max="8" width="10.7265625" style="7" customWidth="1"/>
    <col min="9" max="9" width="19.1796875" customWidth="1"/>
    <col min="10" max="10" width="41.6328125" customWidth="1"/>
    <col min="11" max="11" width="10.1796875" customWidth="1"/>
    <col min="14" max="14" width="17.08984375" customWidth="1"/>
    <col min="15" max="15" width="34.6328125" customWidth="1"/>
    <col min="18" max="19" width="8.7265625" customWidth="1"/>
    <col min="20" max="20" width="21.54296875" customWidth="1"/>
  </cols>
  <sheetData>
    <row r="2" spans="1:14" x14ac:dyDescent="0.35">
      <c r="A2" s="2" t="s">
        <v>0</v>
      </c>
    </row>
    <row r="3" spans="1:14" x14ac:dyDescent="0.35">
      <c r="A3" t="s">
        <v>9</v>
      </c>
    </row>
    <row r="4" spans="1:14" x14ac:dyDescent="0.35">
      <c r="B4" t="s">
        <v>6</v>
      </c>
      <c r="C4" s="16" t="s">
        <v>7</v>
      </c>
    </row>
    <row r="5" spans="1:14" x14ac:dyDescent="0.35">
      <c r="A5" t="s">
        <v>2</v>
      </c>
      <c r="B5" s="1">
        <v>0.57199999999999995</v>
      </c>
      <c r="C5" s="16">
        <v>8.01</v>
      </c>
    </row>
    <row r="6" spans="1:14" x14ac:dyDescent="0.35">
      <c r="A6" t="s">
        <v>3</v>
      </c>
      <c r="C6" s="16">
        <v>77.14</v>
      </c>
    </row>
    <row r="7" spans="1:14" x14ac:dyDescent="0.35">
      <c r="A7" t="s">
        <v>4</v>
      </c>
      <c r="C7" s="16">
        <v>21</v>
      </c>
    </row>
    <row r="8" spans="1:14" x14ac:dyDescent="0.35">
      <c r="A8" t="s">
        <v>5</v>
      </c>
      <c r="B8">
        <v>3.6</v>
      </c>
      <c r="C8" s="16">
        <v>1.86</v>
      </c>
      <c r="G8">
        <v>500000</v>
      </c>
      <c r="J8" t="s">
        <v>179</v>
      </c>
    </row>
    <row r="9" spans="1:14" x14ac:dyDescent="0.35">
      <c r="F9" t="s">
        <v>167</v>
      </c>
      <c r="G9">
        <f>G8/8000</f>
        <v>62.5</v>
      </c>
      <c r="H9" s="7" t="s">
        <v>168</v>
      </c>
      <c r="J9">
        <v>53</v>
      </c>
      <c r="K9" t="s">
        <v>169</v>
      </c>
      <c r="L9" t="s">
        <v>167</v>
      </c>
      <c r="M9">
        <f>J9*(1-0.572)</f>
        <v>22.684000000000001</v>
      </c>
      <c r="N9" t="s">
        <v>172</v>
      </c>
    </row>
    <row r="10" spans="1:14" x14ac:dyDescent="0.35">
      <c r="F10" t="s">
        <v>166</v>
      </c>
      <c r="G10">
        <f>G9*0.572</f>
        <v>35.75</v>
      </c>
      <c r="H10" s="7" t="s">
        <v>168</v>
      </c>
      <c r="J10">
        <v>97</v>
      </c>
      <c r="K10" t="s">
        <v>169</v>
      </c>
      <c r="L10" t="s">
        <v>170</v>
      </c>
      <c r="M10">
        <f>J9-M9</f>
        <v>30.315999999999999</v>
      </c>
      <c r="N10" t="s">
        <v>173</v>
      </c>
    </row>
    <row r="11" spans="1:14" x14ac:dyDescent="0.35">
      <c r="A11" t="s">
        <v>8</v>
      </c>
      <c r="F11" t="s">
        <v>165</v>
      </c>
      <c r="G11">
        <f>G9-G10</f>
        <v>26.75</v>
      </c>
      <c r="H11" s="7" t="s">
        <v>168</v>
      </c>
      <c r="J11">
        <f>J9+J10</f>
        <v>150</v>
      </c>
      <c r="K11" t="s">
        <v>169</v>
      </c>
      <c r="L11" t="s">
        <v>171</v>
      </c>
    </row>
    <row r="12" spans="1:14" x14ac:dyDescent="0.35">
      <c r="B12" t="s">
        <v>6</v>
      </c>
      <c r="C12" s="16" t="s">
        <v>7</v>
      </c>
      <c r="G12">
        <v>26.75</v>
      </c>
      <c r="H12" s="7" t="s">
        <v>168</v>
      </c>
      <c r="I12" t="s">
        <v>172</v>
      </c>
    </row>
    <row r="13" spans="1:14" x14ac:dyDescent="0.35">
      <c r="A13" t="s">
        <v>10</v>
      </c>
      <c r="B13">
        <v>27.78</v>
      </c>
      <c r="C13" s="16">
        <v>50.58</v>
      </c>
      <c r="G13">
        <f>G12/J16</f>
        <v>178.33333333333334</v>
      </c>
      <c r="H13" s="7" t="s">
        <v>168</v>
      </c>
      <c r="I13" t="s">
        <v>170</v>
      </c>
    </row>
    <row r="14" spans="1:14" x14ac:dyDescent="0.35">
      <c r="A14" t="s">
        <v>12</v>
      </c>
      <c r="B14">
        <v>8.23</v>
      </c>
      <c r="C14" s="16">
        <v>6.23</v>
      </c>
      <c r="G14">
        <f>G12/(1-0.572)</f>
        <v>62.499999999999993</v>
      </c>
      <c r="H14" s="7" t="s">
        <v>168</v>
      </c>
      <c r="I14" t="s">
        <v>167</v>
      </c>
      <c r="J14">
        <v>22.684000000000001</v>
      </c>
      <c r="K14" t="s">
        <v>169</v>
      </c>
      <c r="L14" t="s">
        <v>174</v>
      </c>
    </row>
    <row r="15" spans="1:14" x14ac:dyDescent="0.35">
      <c r="A15" t="s">
        <v>11</v>
      </c>
      <c r="B15">
        <v>0.08</v>
      </c>
      <c r="C15" s="16">
        <v>1.49</v>
      </c>
      <c r="G15">
        <f>G14-G12</f>
        <v>35.749999999999993</v>
      </c>
      <c r="H15" s="7" t="s">
        <v>168</v>
      </c>
      <c r="I15" t="s">
        <v>177</v>
      </c>
      <c r="J15">
        <f>J10+M10</f>
        <v>127.316</v>
      </c>
      <c r="K15" t="s">
        <v>169</v>
      </c>
      <c r="L15" t="s">
        <v>175</v>
      </c>
    </row>
    <row r="16" spans="1:14" x14ac:dyDescent="0.35">
      <c r="A16" t="s">
        <v>13</v>
      </c>
      <c r="B16">
        <v>0.02</v>
      </c>
      <c r="C16" s="16">
        <v>0.12</v>
      </c>
      <c r="G16">
        <f>G13-G15</f>
        <v>142.58333333333334</v>
      </c>
      <c r="H16" s="7" t="s">
        <v>168</v>
      </c>
      <c r="I16" t="s">
        <v>178</v>
      </c>
      <c r="J16">
        <v>0.15</v>
      </c>
      <c r="L16" t="s">
        <v>176</v>
      </c>
    </row>
    <row r="17" spans="1:14" x14ac:dyDescent="0.35">
      <c r="A17" t="s">
        <v>14</v>
      </c>
      <c r="B17">
        <v>72.12</v>
      </c>
      <c r="C17" s="16">
        <v>41.58</v>
      </c>
      <c r="G17">
        <f>SUM(I18:J18)/1000</f>
        <v>116.3303448306163</v>
      </c>
    </row>
    <row r="18" spans="1:14" x14ac:dyDescent="0.35">
      <c r="A18" t="s">
        <v>15</v>
      </c>
      <c r="B18">
        <v>3.55</v>
      </c>
      <c r="C18" s="16">
        <v>1.48</v>
      </c>
      <c r="G18">
        <f>G11*8000</f>
        <v>214000</v>
      </c>
      <c r="I18">
        <v>94830.344830616305</v>
      </c>
      <c r="J18">
        <v>21500</v>
      </c>
    </row>
    <row r="19" spans="1:14" x14ac:dyDescent="0.35">
      <c r="A19" t="s">
        <v>16</v>
      </c>
      <c r="B19">
        <v>1.95</v>
      </c>
      <c r="C19" s="16">
        <v>0.62</v>
      </c>
    </row>
    <row r="20" spans="1:14" x14ac:dyDescent="0.35">
      <c r="A20" t="s">
        <v>17</v>
      </c>
      <c r="B20" t="s">
        <v>18</v>
      </c>
      <c r="C20" s="16">
        <v>18.579999999999998</v>
      </c>
      <c r="F20">
        <v>150.52199999999999</v>
      </c>
      <c r="J20">
        <v>53</v>
      </c>
      <c r="K20">
        <v>97</v>
      </c>
    </row>
    <row r="21" spans="1:14" x14ac:dyDescent="0.35">
      <c r="J21">
        <f>J20*K21/K20</f>
        <v>696.10309278350519</v>
      </c>
      <c r="K21">
        <v>1274</v>
      </c>
    </row>
    <row r="22" spans="1:14" x14ac:dyDescent="0.35">
      <c r="A22" t="s">
        <v>19</v>
      </c>
      <c r="F22">
        <f>F20-G16</f>
        <v>7.9386666666666486</v>
      </c>
    </row>
    <row r="23" spans="1:14" x14ac:dyDescent="0.35">
      <c r="A23" t="s">
        <v>20</v>
      </c>
      <c r="B23">
        <v>0.15</v>
      </c>
      <c r="C23" s="16">
        <v>0.1</v>
      </c>
      <c r="F23">
        <f>G16-F22</f>
        <v>134.64466666666669</v>
      </c>
    </row>
    <row r="24" spans="1:14" x14ac:dyDescent="0.35">
      <c r="B24" t="s">
        <v>21</v>
      </c>
    </row>
    <row r="25" spans="1:14" x14ac:dyDescent="0.35">
      <c r="A25" t="s">
        <v>27</v>
      </c>
      <c r="B25">
        <v>330</v>
      </c>
      <c r="E25">
        <v>17798.067324173098</v>
      </c>
      <c r="I25">
        <f>G12/G13</f>
        <v>0.15</v>
      </c>
    </row>
    <row r="26" spans="1:14" x14ac:dyDescent="0.35">
      <c r="A26" t="s">
        <v>28</v>
      </c>
      <c r="B26">
        <v>15</v>
      </c>
      <c r="E26">
        <v>17272.0316860204</v>
      </c>
    </row>
    <row r="27" spans="1:14" x14ac:dyDescent="0.35">
      <c r="A27" t="s">
        <v>29</v>
      </c>
      <c r="B27">
        <v>0</v>
      </c>
      <c r="C27" s="16">
        <v>0</v>
      </c>
      <c r="E27">
        <v>12089.797061441701</v>
      </c>
    </row>
    <row r="28" spans="1:14" x14ac:dyDescent="0.35">
      <c r="A28" s="2" t="s">
        <v>22</v>
      </c>
      <c r="E28">
        <v>15817.1172783805</v>
      </c>
    </row>
    <row r="29" spans="1:14" x14ac:dyDescent="0.35">
      <c r="A29" s="5" t="s">
        <v>23</v>
      </c>
      <c r="B29">
        <v>29</v>
      </c>
      <c r="C29" s="16">
        <v>28.5</v>
      </c>
      <c r="E29">
        <f>E25/($G$9*1000)</f>
        <v>0.28476907718676958</v>
      </c>
      <c r="F29">
        <v>37.590000000000003</v>
      </c>
      <c r="G29" s="2" t="s">
        <v>30</v>
      </c>
    </row>
    <row r="30" spans="1:14" x14ac:dyDescent="0.35">
      <c r="A30" s="5" t="s">
        <v>24</v>
      </c>
      <c r="B30">
        <v>27.63</v>
      </c>
      <c r="C30" s="16">
        <v>27.86</v>
      </c>
      <c r="E30">
        <f t="shared" ref="E30:E32" si="0">E26/($G$9*1000)</f>
        <v>0.27635250697632641</v>
      </c>
      <c r="F30">
        <v>24.3</v>
      </c>
      <c r="G30" t="s">
        <v>31</v>
      </c>
      <c r="H30" s="7" t="s">
        <v>32</v>
      </c>
      <c r="I30" t="s">
        <v>33</v>
      </c>
      <c r="J30" t="s">
        <v>34</v>
      </c>
      <c r="K30" t="s">
        <v>35</v>
      </c>
      <c r="L30" t="s">
        <v>36</v>
      </c>
    </row>
    <row r="31" spans="1:14" x14ac:dyDescent="0.35">
      <c r="A31" s="5" t="s">
        <v>25</v>
      </c>
      <c r="B31">
        <v>19.34</v>
      </c>
      <c r="E31">
        <f t="shared" si="0"/>
        <v>0.1934367529830672</v>
      </c>
      <c r="F31">
        <v>15.8</v>
      </c>
    </row>
    <row r="32" spans="1:14" x14ac:dyDescent="0.35">
      <c r="A32" s="5" t="s">
        <v>26</v>
      </c>
      <c r="B32">
        <v>24.04</v>
      </c>
      <c r="E32">
        <f t="shared" si="0"/>
        <v>0.25307387645408802</v>
      </c>
      <c r="F32">
        <v>22.24</v>
      </c>
      <c r="L32" t="s">
        <v>37</v>
      </c>
      <c r="N32" t="s">
        <v>98</v>
      </c>
    </row>
    <row r="33" spans="1:24" x14ac:dyDescent="0.35">
      <c r="A33" s="5" t="s">
        <v>1032</v>
      </c>
      <c r="B33">
        <v>31.184999999999999</v>
      </c>
      <c r="C33" s="16">
        <v>31.76</v>
      </c>
      <c r="L33" t="s">
        <v>113</v>
      </c>
      <c r="N33" t="s">
        <v>99</v>
      </c>
      <c r="O33" t="s">
        <v>100</v>
      </c>
      <c r="P33" t="s">
        <v>101</v>
      </c>
      <c r="Q33" t="s">
        <v>114</v>
      </c>
    </row>
    <row r="34" spans="1:24" x14ac:dyDescent="0.35">
      <c r="A34" s="5" t="s">
        <v>1031</v>
      </c>
      <c r="B34">
        <v>28.116250000000001</v>
      </c>
      <c r="E34">
        <f>SUM(E29:E32)</f>
        <v>1.0076322136002511</v>
      </c>
    </row>
    <row r="35" spans="1:24" x14ac:dyDescent="0.35">
      <c r="B35">
        <f>E29/$E$34</f>
        <v>0.28261212111241957</v>
      </c>
      <c r="J35" t="s">
        <v>38</v>
      </c>
      <c r="M35" s="6">
        <v>1</v>
      </c>
      <c r="T35" t="s">
        <v>210</v>
      </c>
      <c r="U35" t="s">
        <v>206</v>
      </c>
      <c r="V35" t="s">
        <v>209</v>
      </c>
      <c r="W35" t="s">
        <v>170</v>
      </c>
      <c r="X35" t="s">
        <v>211</v>
      </c>
    </row>
    <row r="36" spans="1:24" x14ac:dyDescent="0.35">
      <c r="B36">
        <f t="shared" ref="B36:B38" si="1">E30/$E$34</f>
        <v>0.27425930140613908</v>
      </c>
      <c r="G36">
        <v>1</v>
      </c>
      <c r="H36" s="7">
        <v>5.69</v>
      </c>
      <c r="I36">
        <v>91</v>
      </c>
      <c r="J36" t="s">
        <v>39</v>
      </c>
      <c r="K36" t="s">
        <v>40</v>
      </c>
      <c r="L36">
        <v>0.64</v>
      </c>
      <c r="M36" s="3">
        <f>L36/0.7253</f>
        <v>0.88239349234799402</v>
      </c>
      <c r="N36">
        <v>5</v>
      </c>
      <c r="O36" t="s">
        <v>102</v>
      </c>
      <c r="P36">
        <v>2</v>
      </c>
      <c r="R36" t="s">
        <v>102</v>
      </c>
      <c r="T36" s="7" t="s">
        <v>180</v>
      </c>
      <c r="U36">
        <v>5</v>
      </c>
      <c r="V36" t="s">
        <v>102</v>
      </c>
      <c r="W36">
        <v>2</v>
      </c>
    </row>
    <row r="37" spans="1:24" x14ac:dyDescent="0.35">
      <c r="B37">
        <f t="shared" si="1"/>
        <v>0.19197158484237148</v>
      </c>
      <c r="G37">
        <v>2</v>
      </c>
      <c r="H37" s="7">
        <v>7.49</v>
      </c>
      <c r="I37">
        <v>91</v>
      </c>
      <c r="J37" t="s">
        <v>41</v>
      </c>
      <c r="K37" t="s">
        <v>42</v>
      </c>
      <c r="L37">
        <v>1.59</v>
      </c>
      <c r="M37" s="3">
        <f t="shared" ref="M37:M68" si="2">L37/0.7253</f>
        <v>2.1921963325520477</v>
      </c>
      <c r="N37">
        <v>4</v>
      </c>
      <c r="O37" t="s">
        <v>103</v>
      </c>
      <c r="P37">
        <v>2</v>
      </c>
      <c r="R37" t="s">
        <v>207</v>
      </c>
      <c r="T37" s="7" t="s">
        <v>129</v>
      </c>
      <c r="U37">
        <v>4</v>
      </c>
      <c r="V37" t="s">
        <v>207</v>
      </c>
      <c r="W37">
        <v>1</v>
      </c>
    </row>
    <row r="38" spans="1:24" x14ac:dyDescent="0.35">
      <c r="B38">
        <f t="shared" si="1"/>
        <v>0.25115699263906993</v>
      </c>
      <c r="G38">
        <v>4</v>
      </c>
      <c r="H38" s="7">
        <v>11.47</v>
      </c>
      <c r="I38">
        <v>91</v>
      </c>
      <c r="J38" s="7" t="s">
        <v>43</v>
      </c>
      <c r="K38" t="s">
        <v>44</v>
      </c>
      <c r="L38">
        <v>3.14</v>
      </c>
      <c r="M38" s="3">
        <f t="shared" si="2"/>
        <v>4.3292430718323454</v>
      </c>
      <c r="O38" t="s">
        <v>43</v>
      </c>
      <c r="R38" s="7" t="s">
        <v>131</v>
      </c>
      <c r="T38" s="7" t="s">
        <v>131</v>
      </c>
      <c r="V38" s="7" t="s">
        <v>131</v>
      </c>
    </row>
    <row r="39" spans="1:24" x14ac:dyDescent="0.35">
      <c r="A39" s="2" t="s">
        <v>115</v>
      </c>
      <c r="G39">
        <v>5</v>
      </c>
      <c r="H39" s="7">
        <v>11.85</v>
      </c>
      <c r="I39">
        <v>91</v>
      </c>
      <c r="J39" t="s">
        <v>45</v>
      </c>
      <c r="K39" t="s">
        <v>46</v>
      </c>
      <c r="L39">
        <v>0.67</v>
      </c>
      <c r="M39" s="3">
        <f t="shared" si="2"/>
        <v>0.92375568730180624</v>
      </c>
      <c r="N39">
        <v>11</v>
      </c>
      <c r="O39" t="s">
        <v>104</v>
      </c>
      <c r="P39">
        <v>4</v>
      </c>
      <c r="R39" t="s">
        <v>199</v>
      </c>
      <c r="T39" s="7" t="s">
        <v>132</v>
      </c>
      <c r="U39">
        <v>11</v>
      </c>
      <c r="V39" t="s">
        <v>199</v>
      </c>
      <c r="W39">
        <v>4</v>
      </c>
    </row>
    <row r="40" spans="1:24" x14ac:dyDescent="0.35">
      <c r="A40" t="s">
        <v>116</v>
      </c>
      <c r="B40">
        <v>90.2</v>
      </c>
      <c r="G40">
        <v>6</v>
      </c>
      <c r="H40" s="7">
        <v>11.93</v>
      </c>
      <c r="I40">
        <v>90</v>
      </c>
      <c r="J40" t="s">
        <v>47</v>
      </c>
      <c r="K40" t="s">
        <v>48</v>
      </c>
      <c r="L40">
        <v>0.8</v>
      </c>
      <c r="M40" s="3">
        <f t="shared" si="2"/>
        <v>1.1029918654349926</v>
      </c>
      <c r="N40">
        <v>4</v>
      </c>
      <c r="O40" t="s">
        <v>105</v>
      </c>
      <c r="P40">
        <v>2</v>
      </c>
      <c r="R40" t="s">
        <v>208</v>
      </c>
      <c r="T40" s="7" t="s">
        <v>133</v>
      </c>
      <c r="U40">
        <v>4</v>
      </c>
      <c r="V40" t="s">
        <v>208</v>
      </c>
      <c r="W40">
        <v>2</v>
      </c>
    </row>
    <row r="41" spans="1:24" x14ac:dyDescent="0.35">
      <c r="A41" t="s">
        <v>117</v>
      </c>
      <c r="B41">
        <v>0.9</v>
      </c>
      <c r="G41">
        <v>7</v>
      </c>
      <c r="H41" s="7">
        <v>13.07</v>
      </c>
      <c r="I41">
        <v>86</v>
      </c>
      <c r="J41" t="s">
        <v>49</v>
      </c>
      <c r="K41" t="s">
        <v>50</v>
      </c>
      <c r="L41">
        <v>1.01</v>
      </c>
      <c r="M41" s="3">
        <f t="shared" si="2"/>
        <v>1.392527230111678</v>
      </c>
      <c r="N41">
        <v>4</v>
      </c>
      <c r="O41" t="s">
        <v>106</v>
      </c>
      <c r="P41">
        <v>2</v>
      </c>
      <c r="R41" t="s">
        <v>200</v>
      </c>
      <c r="T41" s="7" t="s">
        <v>134</v>
      </c>
      <c r="U41">
        <v>4</v>
      </c>
      <c r="V41" t="s">
        <v>200</v>
      </c>
      <c r="W41">
        <v>2</v>
      </c>
    </row>
    <row r="42" spans="1:24" x14ac:dyDescent="0.35">
      <c r="A42" t="s">
        <v>118</v>
      </c>
      <c r="B42">
        <v>3</v>
      </c>
      <c r="G42">
        <v>9</v>
      </c>
      <c r="H42" s="7">
        <v>15.21</v>
      </c>
      <c r="I42">
        <v>91</v>
      </c>
      <c r="J42" t="s">
        <v>51</v>
      </c>
      <c r="K42" t="s">
        <v>44</v>
      </c>
      <c r="L42">
        <v>1.27</v>
      </c>
      <c r="M42" s="3">
        <f t="shared" si="2"/>
        <v>1.7509995863780505</v>
      </c>
      <c r="N42">
        <v>4</v>
      </c>
      <c r="O42" t="s">
        <v>106</v>
      </c>
      <c r="P42">
        <v>1</v>
      </c>
      <c r="R42" t="s">
        <v>201</v>
      </c>
      <c r="T42" s="7" t="s">
        <v>135</v>
      </c>
      <c r="U42">
        <v>4</v>
      </c>
      <c r="V42" t="s">
        <v>201</v>
      </c>
      <c r="W42">
        <v>1</v>
      </c>
    </row>
    <row r="43" spans="1:24" x14ac:dyDescent="0.35">
      <c r="A43" t="s">
        <v>119</v>
      </c>
      <c r="B43">
        <v>2.5</v>
      </c>
      <c r="G43">
        <v>10</v>
      </c>
      <c r="H43" s="7">
        <v>17.239999999999998</v>
      </c>
      <c r="I43">
        <v>96</v>
      </c>
      <c r="J43" s="7" t="s">
        <v>52</v>
      </c>
      <c r="K43" t="s">
        <v>53</v>
      </c>
      <c r="L43">
        <v>0.56000000000000005</v>
      </c>
      <c r="M43" s="3">
        <f t="shared" si="2"/>
        <v>0.77209430580449478</v>
      </c>
      <c r="O43" t="s">
        <v>52</v>
      </c>
      <c r="R43" s="7" t="s">
        <v>136</v>
      </c>
      <c r="T43" s="7" t="s">
        <v>136</v>
      </c>
      <c r="V43" s="7" t="s">
        <v>136</v>
      </c>
    </row>
    <row r="44" spans="1:24" x14ac:dyDescent="0.35">
      <c r="A44" t="s">
        <v>120</v>
      </c>
      <c r="B44">
        <v>1.9</v>
      </c>
      <c r="G44">
        <v>11</v>
      </c>
      <c r="H44" s="7">
        <v>17.61</v>
      </c>
      <c r="I44">
        <v>93</v>
      </c>
      <c r="J44" s="7" t="s">
        <v>54</v>
      </c>
      <c r="K44" t="s">
        <v>53</v>
      </c>
      <c r="L44">
        <v>1.87</v>
      </c>
      <c r="M44" s="3">
        <f t="shared" si="2"/>
        <v>2.578243485454295</v>
      </c>
      <c r="O44" t="s">
        <v>54</v>
      </c>
      <c r="R44" s="7" t="s">
        <v>137</v>
      </c>
      <c r="T44" s="7" t="s">
        <v>137</v>
      </c>
      <c r="V44" s="7" t="s">
        <v>137</v>
      </c>
    </row>
    <row r="45" spans="1:24" x14ac:dyDescent="0.35">
      <c r="A45" t="s">
        <v>121</v>
      </c>
      <c r="B45">
        <v>1.5</v>
      </c>
      <c r="G45">
        <v>12</v>
      </c>
      <c r="H45" s="7">
        <v>19.8</v>
      </c>
      <c r="I45">
        <v>93</v>
      </c>
      <c r="J45" t="s">
        <v>55</v>
      </c>
      <c r="K45" t="s">
        <v>56</v>
      </c>
      <c r="L45">
        <v>2.13</v>
      </c>
      <c r="M45" s="3">
        <f t="shared" si="2"/>
        <v>2.9367158417206674</v>
      </c>
      <c r="N45">
        <v>4</v>
      </c>
      <c r="O45" t="s">
        <v>107</v>
      </c>
      <c r="P45">
        <v>2</v>
      </c>
      <c r="R45" s="9" t="s">
        <v>195</v>
      </c>
      <c r="S45" s="9"/>
      <c r="T45" s="9" t="s">
        <v>149</v>
      </c>
      <c r="U45" s="9">
        <v>4</v>
      </c>
      <c r="V45" s="9" t="s">
        <v>195</v>
      </c>
      <c r="W45" s="9">
        <v>2</v>
      </c>
    </row>
    <row r="46" spans="1:24" x14ac:dyDescent="0.35">
      <c r="G46">
        <v>13</v>
      </c>
      <c r="H46" s="7">
        <v>21.88</v>
      </c>
      <c r="I46">
        <v>90</v>
      </c>
      <c r="J46" t="s">
        <v>57</v>
      </c>
      <c r="K46" t="s">
        <v>58</v>
      </c>
      <c r="L46">
        <v>0.45</v>
      </c>
      <c r="M46" s="3">
        <f t="shared" si="2"/>
        <v>0.62043292430718333</v>
      </c>
      <c r="N46">
        <v>4</v>
      </c>
      <c r="O46" t="s">
        <v>108</v>
      </c>
      <c r="P46">
        <v>2</v>
      </c>
      <c r="R46" t="s">
        <v>196</v>
      </c>
      <c r="T46" s="7" t="s">
        <v>139</v>
      </c>
      <c r="U46">
        <v>4</v>
      </c>
      <c r="V46" t="s">
        <v>196</v>
      </c>
      <c r="W46">
        <v>2</v>
      </c>
    </row>
    <row r="47" spans="1:24" x14ac:dyDescent="0.35">
      <c r="G47">
        <v>14</v>
      </c>
      <c r="H47" s="7">
        <v>50.44</v>
      </c>
      <c r="I47">
        <v>97</v>
      </c>
      <c r="J47" s="8" t="s">
        <v>59</v>
      </c>
      <c r="K47" t="s">
        <v>60</v>
      </c>
      <c r="L47">
        <v>1.07</v>
      </c>
      <c r="M47" s="3">
        <f t="shared" si="2"/>
        <v>1.4752516200193027</v>
      </c>
      <c r="O47" t="s">
        <v>59</v>
      </c>
      <c r="R47" s="7" t="s">
        <v>140</v>
      </c>
      <c r="T47" s="7" t="s">
        <v>140</v>
      </c>
      <c r="V47" s="7" t="s">
        <v>140</v>
      </c>
    </row>
    <row r="48" spans="1:24" x14ac:dyDescent="0.35">
      <c r="G48">
        <v>15</v>
      </c>
      <c r="H48" s="7">
        <v>66.55</v>
      </c>
      <c r="I48">
        <v>72</v>
      </c>
      <c r="J48" t="s">
        <v>61</v>
      </c>
      <c r="K48" t="s">
        <v>62</v>
      </c>
      <c r="L48">
        <v>1.18</v>
      </c>
      <c r="M48" s="3">
        <f t="shared" si="2"/>
        <v>1.6269130015166138</v>
      </c>
      <c r="O48" t="s">
        <v>61</v>
      </c>
      <c r="R48" s="7" t="s">
        <v>141</v>
      </c>
      <c r="T48" s="7" t="s">
        <v>141</v>
      </c>
      <c r="V48" s="7" t="s">
        <v>141</v>
      </c>
    </row>
    <row r="49" spans="7:23" x14ac:dyDescent="0.35">
      <c r="G49">
        <v>16</v>
      </c>
      <c r="H49" s="7">
        <v>91.76</v>
      </c>
      <c r="I49">
        <v>92</v>
      </c>
      <c r="J49" t="s">
        <v>63</v>
      </c>
      <c r="K49" t="s">
        <v>64</v>
      </c>
      <c r="L49">
        <v>1.43</v>
      </c>
      <c r="M49" s="3">
        <f t="shared" si="2"/>
        <v>1.971597959465049</v>
      </c>
      <c r="N49">
        <v>3</v>
      </c>
      <c r="O49" t="s">
        <v>109</v>
      </c>
      <c r="P49">
        <v>2</v>
      </c>
      <c r="R49" t="s">
        <v>197</v>
      </c>
      <c r="T49" s="7" t="s">
        <v>142</v>
      </c>
      <c r="U49">
        <v>3</v>
      </c>
      <c r="V49" t="s">
        <v>197</v>
      </c>
      <c r="W49">
        <v>2</v>
      </c>
    </row>
    <row r="50" spans="7:23" x14ac:dyDescent="0.35">
      <c r="G50">
        <v>17</v>
      </c>
      <c r="H50" s="7">
        <v>17.05</v>
      </c>
      <c r="I50">
        <v>94</v>
      </c>
      <c r="J50" s="7" t="s">
        <v>65</v>
      </c>
      <c r="K50" t="s">
        <v>66</v>
      </c>
      <c r="L50">
        <v>1.21</v>
      </c>
      <c r="M50" s="3">
        <f t="shared" si="2"/>
        <v>1.6682751964704261</v>
      </c>
      <c r="O50" t="s">
        <v>65</v>
      </c>
      <c r="R50" s="7" t="s">
        <v>143</v>
      </c>
      <c r="T50" s="7" t="s">
        <v>143</v>
      </c>
      <c r="V50" s="7" t="s">
        <v>143</v>
      </c>
    </row>
    <row r="51" spans="7:23" x14ac:dyDescent="0.35">
      <c r="G51">
        <v>19</v>
      </c>
      <c r="H51" s="7">
        <v>23.72</v>
      </c>
      <c r="I51">
        <v>95</v>
      </c>
      <c r="J51" s="7" t="s">
        <v>67</v>
      </c>
      <c r="K51" t="s">
        <v>68</v>
      </c>
      <c r="L51">
        <v>0.84</v>
      </c>
      <c r="M51" s="3">
        <f t="shared" si="2"/>
        <v>1.158141458706742</v>
      </c>
      <c r="O51" t="s">
        <v>67</v>
      </c>
      <c r="R51" s="7" t="s">
        <v>144</v>
      </c>
      <c r="T51" s="7" t="s">
        <v>144</v>
      </c>
      <c r="V51" s="7" t="s">
        <v>144</v>
      </c>
    </row>
    <row r="52" spans="7:23" x14ac:dyDescent="0.35">
      <c r="G52">
        <v>20</v>
      </c>
      <c r="H52" s="7">
        <v>24.2</v>
      </c>
      <c r="I52">
        <v>97</v>
      </c>
      <c r="J52" s="8" t="s">
        <v>69</v>
      </c>
      <c r="K52" t="s">
        <v>70</v>
      </c>
      <c r="L52">
        <v>14.95</v>
      </c>
      <c r="M52" s="3">
        <f t="shared" si="2"/>
        <v>20.612160485316423</v>
      </c>
      <c r="O52" t="s">
        <v>69</v>
      </c>
      <c r="R52" s="7" t="s">
        <v>145</v>
      </c>
      <c r="T52" s="7" t="s">
        <v>145</v>
      </c>
      <c r="V52" s="7" t="s">
        <v>145</v>
      </c>
    </row>
    <row r="53" spans="7:23" x14ac:dyDescent="0.35">
      <c r="G53">
        <v>21</v>
      </c>
      <c r="H53" s="7">
        <v>30.07</v>
      </c>
      <c r="I53">
        <v>90</v>
      </c>
      <c r="J53" s="9" t="s">
        <v>71</v>
      </c>
      <c r="K53" t="s">
        <v>72</v>
      </c>
      <c r="L53">
        <v>0.45</v>
      </c>
      <c r="M53" s="3">
        <f t="shared" si="2"/>
        <v>0.62043292430718333</v>
      </c>
      <c r="O53" t="s">
        <v>71</v>
      </c>
      <c r="R53" s="7" t="s">
        <v>146</v>
      </c>
      <c r="T53" s="7" t="s">
        <v>146</v>
      </c>
      <c r="V53" s="7" t="s">
        <v>146</v>
      </c>
    </row>
    <row r="54" spans="7:23" x14ac:dyDescent="0.35">
      <c r="G54">
        <v>23</v>
      </c>
      <c r="H54" s="7">
        <v>31.48</v>
      </c>
      <c r="I54">
        <v>97</v>
      </c>
      <c r="J54" s="8" t="s">
        <v>73</v>
      </c>
      <c r="K54" t="s">
        <v>74</v>
      </c>
      <c r="L54">
        <v>2.37</v>
      </c>
      <c r="M54" s="3">
        <f t="shared" si="2"/>
        <v>3.2676134013511655</v>
      </c>
      <c r="O54" t="s">
        <v>73</v>
      </c>
      <c r="R54" s="7" t="s">
        <v>147</v>
      </c>
      <c r="T54" s="7" t="s">
        <v>147</v>
      </c>
      <c r="V54" s="7" t="s">
        <v>147</v>
      </c>
    </row>
    <row r="55" spans="7:23" x14ac:dyDescent="0.35">
      <c r="G55">
        <v>24</v>
      </c>
      <c r="H55" s="7">
        <v>32.619999999999997</v>
      </c>
      <c r="I55">
        <v>93</v>
      </c>
      <c r="J55" s="9" t="s">
        <v>75</v>
      </c>
      <c r="K55" t="s">
        <v>46</v>
      </c>
      <c r="L55">
        <v>1.65</v>
      </c>
      <c r="M55" s="3">
        <f t="shared" si="2"/>
        <v>2.2749207224596719</v>
      </c>
      <c r="O55" t="s">
        <v>75</v>
      </c>
      <c r="R55" s="7" t="s">
        <v>148</v>
      </c>
      <c r="T55" s="7" t="s">
        <v>148</v>
      </c>
      <c r="V55" s="7" t="s">
        <v>148</v>
      </c>
    </row>
    <row r="56" spans="7:23" x14ac:dyDescent="0.35">
      <c r="G56">
        <v>25</v>
      </c>
      <c r="H56" s="7">
        <v>36.08</v>
      </c>
      <c r="I56">
        <v>96</v>
      </c>
      <c r="J56" s="8" t="s">
        <v>76</v>
      </c>
      <c r="K56" t="s">
        <v>77</v>
      </c>
      <c r="L56">
        <v>3.34</v>
      </c>
      <c r="M56" s="3">
        <f t="shared" si="2"/>
        <v>4.6049910381910939</v>
      </c>
      <c r="O56" t="s">
        <v>76</v>
      </c>
      <c r="R56" s="7" t="s">
        <v>150</v>
      </c>
      <c r="T56" s="7" t="s">
        <v>150</v>
      </c>
      <c r="V56" s="7" t="s">
        <v>150</v>
      </c>
    </row>
    <row r="57" spans="7:23" x14ac:dyDescent="0.35">
      <c r="G57">
        <v>26</v>
      </c>
      <c r="H57" s="7">
        <v>36.67</v>
      </c>
      <c r="I57">
        <v>94</v>
      </c>
      <c r="J57" s="7" t="s">
        <v>78</v>
      </c>
      <c r="K57" t="s">
        <v>70</v>
      </c>
      <c r="L57">
        <v>0.41</v>
      </c>
      <c r="M57" s="3">
        <f t="shared" si="2"/>
        <v>0.5652833310354336</v>
      </c>
      <c r="O57" t="s">
        <v>78</v>
      </c>
      <c r="R57" s="7" t="s">
        <v>181</v>
      </c>
      <c r="T57" s="7" t="s">
        <v>181</v>
      </c>
      <c r="V57" s="7" t="s">
        <v>181</v>
      </c>
    </row>
    <row r="58" spans="7:23" x14ac:dyDescent="0.35">
      <c r="G58">
        <v>27</v>
      </c>
      <c r="H58" s="7">
        <v>37.39</v>
      </c>
      <c r="I58">
        <v>91</v>
      </c>
      <c r="J58" s="8" t="s">
        <v>79</v>
      </c>
      <c r="K58" t="s">
        <v>80</v>
      </c>
      <c r="L58">
        <v>2.83</v>
      </c>
      <c r="M58" s="3">
        <f t="shared" si="2"/>
        <v>3.9018337239762859</v>
      </c>
      <c r="O58" t="s">
        <v>79</v>
      </c>
      <c r="R58" s="7" t="s">
        <v>182</v>
      </c>
      <c r="T58" s="7" t="s">
        <v>182</v>
      </c>
      <c r="V58" s="7" t="s">
        <v>182</v>
      </c>
    </row>
    <row r="59" spans="7:23" x14ac:dyDescent="0.35">
      <c r="G59">
        <v>28</v>
      </c>
      <c r="H59" s="7">
        <v>38.659999999999997</v>
      </c>
      <c r="I59">
        <v>95</v>
      </c>
      <c r="J59" s="7" t="s">
        <v>81</v>
      </c>
      <c r="K59" t="s">
        <v>70</v>
      </c>
      <c r="L59">
        <v>0.6</v>
      </c>
      <c r="M59" s="3">
        <f t="shared" si="2"/>
        <v>0.82724389907624429</v>
      </c>
      <c r="O59" t="s">
        <v>81</v>
      </c>
      <c r="R59" s="7" t="s">
        <v>183</v>
      </c>
      <c r="T59" s="7" t="s">
        <v>183</v>
      </c>
      <c r="V59" s="7" t="s">
        <v>183</v>
      </c>
    </row>
    <row r="60" spans="7:23" x14ac:dyDescent="0.35">
      <c r="G60">
        <v>29</v>
      </c>
      <c r="H60" s="7">
        <v>42.31</v>
      </c>
      <c r="I60">
        <v>93</v>
      </c>
      <c r="J60" s="8" t="s">
        <v>82</v>
      </c>
      <c r="K60" t="s">
        <v>83</v>
      </c>
      <c r="L60">
        <v>12.51</v>
      </c>
      <c r="M60" s="3">
        <f t="shared" si="2"/>
        <v>17.248035295739694</v>
      </c>
      <c r="O60" t="s">
        <v>82</v>
      </c>
      <c r="R60" s="7" t="s">
        <v>153</v>
      </c>
      <c r="T60" s="7" t="s">
        <v>153</v>
      </c>
      <c r="V60" s="7" t="s">
        <v>153</v>
      </c>
    </row>
    <row r="61" spans="7:23" x14ac:dyDescent="0.35">
      <c r="G61">
        <v>30</v>
      </c>
      <c r="H61" s="7">
        <v>42.58</v>
      </c>
      <c r="I61">
        <v>78</v>
      </c>
      <c r="J61" t="s">
        <v>84</v>
      </c>
      <c r="K61" t="s">
        <v>85</v>
      </c>
      <c r="L61">
        <v>0.7</v>
      </c>
      <c r="M61" s="3">
        <f t="shared" si="2"/>
        <v>0.96511788225561834</v>
      </c>
      <c r="N61">
        <v>5</v>
      </c>
      <c r="O61" t="s">
        <v>110</v>
      </c>
      <c r="P61">
        <v>1</v>
      </c>
      <c r="R61" t="s">
        <v>198</v>
      </c>
      <c r="T61" s="17" t="s">
        <v>184</v>
      </c>
      <c r="U61">
        <v>5</v>
      </c>
      <c r="V61" t="s">
        <v>198</v>
      </c>
      <c r="W61">
        <v>1</v>
      </c>
    </row>
    <row r="62" spans="7:23" x14ac:dyDescent="0.35">
      <c r="G62">
        <v>31</v>
      </c>
      <c r="H62" s="7">
        <v>43.18</v>
      </c>
      <c r="I62">
        <v>91</v>
      </c>
      <c r="J62" s="8" t="s">
        <v>86</v>
      </c>
      <c r="K62" t="s">
        <v>87</v>
      </c>
      <c r="L62">
        <v>1.7</v>
      </c>
      <c r="M62" s="3">
        <f t="shared" si="2"/>
        <v>2.3438577140493591</v>
      </c>
      <c r="O62" t="s">
        <v>86</v>
      </c>
      <c r="R62" s="7" t="s">
        <v>185</v>
      </c>
      <c r="T62" s="7" t="s">
        <v>185</v>
      </c>
      <c r="V62" s="7" t="s">
        <v>185</v>
      </c>
    </row>
    <row r="63" spans="7:23" x14ac:dyDescent="0.35">
      <c r="G63">
        <v>35</v>
      </c>
      <c r="H63" s="7">
        <v>86.73</v>
      </c>
      <c r="I63">
        <v>95</v>
      </c>
      <c r="J63" s="7" t="s">
        <v>88</v>
      </c>
      <c r="K63" t="s">
        <v>89</v>
      </c>
      <c r="L63">
        <v>0.28000000000000003</v>
      </c>
      <c r="M63" s="3">
        <f t="shared" si="2"/>
        <v>0.38604715290224739</v>
      </c>
      <c r="O63" t="s">
        <v>88</v>
      </c>
      <c r="R63" s="7" t="s">
        <v>156</v>
      </c>
      <c r="T63" s="7" t="s">
        <v>156</v>
      </c>
      <c r="V63" s="7" t="s">
        <v>156</v>
      </c>
    </row>
    <row r="64" spans="7:23" x14ac:dyDescent="0.35">
      <c r="G64">
        <v>36</v>
      </c>
      <c r="H64" s="7">
        <v>91.86</v>
      </c>
      <c r="I64">
        <v>96</v>
      </c>
      <c r="J64" s="7" t="s">
        <v>90</v>
      </c>
      <c r="K64" t="s">
        <v>64</v>
      </c>
      <c r="L64">
        <v>0.41</v>
      </c>
      <c r="M64" s="3">
        <f t="shared" si="2"/>
        <v>0.5652833310354336</v>
      </c>
      <c r="O64" t="s">
        <v>90</v>
      </c>
      <c r="R64" s="7" t="s">
        <v>186</v>
      </c>
      <c r="T64" s="7" t="s">
        <v>186</v>
      </c>
      <c r="V64" s="7" t="s">
        <v>186</v>
      </c>
    </row>
    <row r="65" spans="1:24" x14ac:dyDescent="0.35">
      <c r="G65">
        <v>44</v>
      </c>
      <c r="H65" s="7">
        <v>75.260000000000005</v>
      </c>
      <c r="I65">
        <v>94</v>
      </c>
      <c r="J65" t="s">
        <v>91</v>
      </c>
      <c r="K65" t="s">
        <v>92</v>
      </c>
      <c r="L65">
        <v>2.2200000000000002</v>
      </c>
      <c r="M65" s="3">
        <f t="shared" si="2"/>
        <v>3.0608024265821046</v>
      </c>
      <c r="N65">
        <v>4</v>
      </c>
      <c r="O65" t="s">
        <v>111</v>
      </c>
      <c r="Q65">
        <v>2</v>
      </c>
      <c r="R65" t="s">
        <v>202</v>
      </c>
      <c r="T65" s="7" t="s">
        <v>158</v>
      </c>
      <c r="U65">
        <v>4</v>
      </c>
      <c r="V65" t="s">
        <v>202</v>
      </c>
      <c r="W65">
        <v>2</v>
      </c>
      <c r="X65">
        <v>1</v>
      </c>
    </row>
    <row r="66" spans="1:24" x14ac:dyDescent="0.35">
      <c r="G66">
        <v>45</v>
      </c>
      <c r="H66" s="7">
        <v>83.87</v>
      </c>
      <c r="I66">
        <v>99</v>
      </c>
      <c r="J66" t="s">
        <v>93</v>
      </c>
      <c r="K66" t="s">
        <v>94</v>
      </c>
      <c r="L66">
        <v>0.43</v>
      </c>
      <c r="M66" s="3">
        <f t="shared" si="2"/>
        <v>0.59285812767130841</v>
      </c>
      <c r="N66">
        <v>6</v>
      </c>
      <c r="O66" t="s">
        <v>112</v>
      </c>
      <c r="Q66">
        <v>2</v>
      </c>
      <c r="R66" t="s">
        <v>203</v>
      </c>
      <c r="T66" s="7" t="s">
        <v>160</v>
      </c>
      <c r="U66">
        <v>6</v>
      </c>
      <c r="V66" t="s">
        <v>203</v>
      </c>
      <c r="W66">
        <v>2</v>
      </c>
      <c r="X66">
        <v>1</v>
      </c>
    </row>
    <row r="67" spans="1:24" x14ac:dyDescent="0.35">
      <c r="G67">
        <v>46</v>
      </c>
      <c r="H67" s="7">
        <v>84.09</v>
      </c>
      <c r="I67">
        <v>99</v>
      </c>
      <c r="J67" t="s">
        <v>95</v>
      </c>
      <c r="K67" t="s">
        <v>96</v>
      </c>
      <c r="L67">
        <v>5.82</v>
      </c>
      <c r="M67" s="3">
        <f t="shared" si="2"/>
        <v>8.0242658210395703</v>
      </c>
      <c r="N67">
        <v>5</v>
      </c>
      <c r="O67" t="s">
        <v>112</v>
      </c>
      <c r="Q67">
        <v>2</v>
      </c>
      <c r="R67" t="s">
        <v>204</v>
      </c>
      <c r="T67" s="7" t="s">
        <v>187</v>
      </c>
      <c r="U67">
        <v>5</v>
      </c>
      <c r="V67" t="s">
        <v>204</v>
      </c>
      <c r="W67">
        <v>2</v>
      </c>
      <c r="X67">
        <v>1</v>
      </c>
    </row>
    <row r="68" spans="1:24" x14ac:dyDescent="0.35">
      <c r="G68">
        <v>48</v>
      </c>
      <c r="H68" s="7">
        <v>84.41</v>
      </c>
      <c r="I68">
        <v>99</v>
      </c>
      <c r="J68" t="s">
        <v>97</v>
      </c>
      <c r="K68" t="s">
        <v>96</v>
      </c>
      <c r="L68">
        <v>2</v>
      </c>
      <c r="M68" s="3">
        <f t="shared" si="2"/>
        <v>2.7574796635874814</v>
      </c>
      <c r="N68">
        <v>5</v>
      </c>
      <c r="O68" t="s">
        <v>112</v>
      </c>
      <c r="Q68">
        <v>2</v>
      </c>
      <c r="R68" t="s">
        <v>205</v>
      </c>
      <c r="T68" s="7" t="s">
        <v>188</v>
      </c>
      <c r="U68">
        <v>5</v>
      </c>
      <c r="V68" t="s">
        <v>205</v>
      </c>
      <c r="W68">
        <v>2</v>
      </c>
      <c r="X68">
        <v>1</v>
      </c>
    </row>
    <row r="69" spans="1:24" x14ac:dyDescent="0.35">
      <c r="L69">
        <f>SUM(L36:L68)</f>
        <v>72.53</v>
      </c>
      <c r="M69">
        <f>SUM(M36:M68)</f>
        <v>100</v>
      </c>
      <c r="Q69" t="s">
        <v>1065</v>
      </c>
      <c r="R69" t="s">
        <v>210</v>
      </c>
      <c r="S69" t="s">
        <v>206</v>
      </c>
      <c r="T69" s="7" t="s">
        <v>1066</v>
      </c>
      <c r="U69" t="s">
        <v>1067</v>
      </c>
    </row>
    <row r="70" spans="1:24" x14ac:dyDescent="0.35">
      <c r="Q70">
        <v>2</v>
      </c>
      <c r="R70" s="7" t="s">
        <v>180</v>
      </c>
      <c r="S70">
        <v>5</v>
      </c>
      <c r="T70">
        <v>0.75602596732778504</v>
      </c>
      <c r="U70">
        <f>T70*(S70/Q70)</f>
        <v>1.8900649183194627</v>
      </c>
    </row>
    <row r="71" spans="1:24" x14ac:dyDescent="0.35">
      <c r="Q71">
        <v>1</v>
      </c>
      <c r="R71" s="7" t="s">
        <v>129</v>
      </c>
      <c r="S71">
        <v>4</v>
      </c>
      <c r="T71">
        <v>1.9890979230802199</v>
      </c>
      <c r="U71">
        <f t="shared" ref="U71:U83" si="3">T71*(S71/Q71)</f>
        <v>7.9563916923208797</v>
      </c>
    </row>
    <row r="72" spans="1:24" x14ac:dyDescent="0.35">
      <c r="A72" t="s">
        <v>122</v>
      </c>
      <c r="Q72">
        <v>2</v>
      </c>
      <c r="R72" s="7" t="s">
        <v>132</v>
      </c>
      <c r="S72">
        <v>11</v>
      </c>
      <c r="T72">
        <v>0.62555418367952598</v>
      </c>
      <c r="U72">
        <f t="shared" si="3"/>
        <v>3.4405480102373929</v>
      </c>
    </row>
    <row r="73" spans="1:24" x14ac:dyDescent="0.35">
      <c r="A73" t="s">
        <v>123</v>
      </c>
      <c r="E73">
        <v>0.28999999999999998</v>
      </c>
      <c r="O73" t="s">
        <v>97</v>
      </c>
      <c r="Q73">
        <v>1</v>
      </c>
      <c r="R73" s="7" t="s">
        <v>133</v>
      </c>
      <c r="S73">
        <v>4</v>
      </c>
      <c r="T73">
        <v>0.95508946869790201</v>
      </c>
      <c r="U73">
        <f t="shared" si="3"/>
        <v>3.820357874791608</v>
      </c>
    </row>
    <row r="74" spans="1:24" x14ac:dyDescent="0.35">
      <c r="A74" s="4" t="s">
        <v>39</v>
      </c>
      <c r="B74">
        <v>0.88239349234799402</v>
      </c>
      <c r="C74" s="16">
        <f>E74*B74</f>
        <v>0.25589411278091823</v>
      </c>
      <c r="D74" s="16">
        <f>C74/J74</f>
        <v>0.27801281211259637</v>
      </c>
      <c r="E74">
        <v>0.28999999999999998</v>
      </c>
      <c r="F74" t="s">
        <v>129</v>
      </c>
      <c r="G74">
        <v>0.64</v>
      </c>
      <c r="H74" s="7" t="s">
        <v>180</v>
      </c>
      <c r="J74">
        <v>0.92044000000000004</v>
      </c>
      <c r="Q74">
        <v>1</v>
      </c>
      <c r="R74" s="7" t="s">
        <v>134</v>
      </c>
      <c r="S74">
        <v>4</v>
      </c>
      <c r="T74">
        <v>0.90976542935225901</v>
      </c>
      <c r="U74">
        <f t="shared" si="3"/>
        <v>3.6390617174090361</v>
      </c>
    </row>
    <row r="75" spans="1:24" x14ac:dyDescent="0.35">
      <c r="A75" s="4" t="s">
        <v>41</v>
      </c>
      <c r="B75">
        <v>2.1921963325520477</v>
      </c>
      <c r="C75" s="16">
        <f t="shared" ref="C75:C106" si="4">E75*B75</f>
        <v>0.63573693644009377</v>
      </c>
      <c r="D75" s="16">
        <f t="shared" ref="D75:D106" si="5">C75/J75</f>
        <v>0.6906880800922317</v>
      </c>
      <c r="E75">
        <v>0.28999999999999998</v>
      </c>
      <c r="F75" t="s">
        <v>130</v>
      </c>
      <c r="G75">
        <v>1.59</v>
      </c>
      <c r="H75" s="7" t="s">
        <v>129</v>
      </c>
      <c r="J75">
        <v>0.92044000000000004</v>
      </c>
      <c r="Q75">
        <v>1</v>
      </c>
      <c r="R75" s="7" t="s">
        <v>135</v>
      </c>
      <c r="S75">
        <v>4</v>
      </c>
      <c r="T75">
        <v>1.35725819249979</v>
      </c>
      <c r="U75">
        <f t="shared" si="3"/>
        <v>5.4290327699991598</v>
      </c>
    </row>
    <row r="76" spans="1:24" x14ac:dyDescent="0.35">
      <c r="A76" s="10" t="s">
        <v>43</v>
      </c>
      <c r="B76">
        <v>4.3292430718323454</v>
      </c>
      <c r="C76" s="16">
        <f t="shared" si="4"/>
        <v>1.2554804908313801</v>
      </c>
      <c r="D76" s="16">
        <f t="shared" si="5"/>
        <v>1.3640003594274261</v>
      </c>
      <c r="E76">
        <v>0.28999999999999998</v>
      </c>
      <c r="F76" t="s">
        <v>131</v>
      </c>
      <c r="G76">
        <v>3.14</v>
      </c>
      <c r="H76" s="7" t="s">
        <v>131</v>
      </c>
      <c r="J76">
        <v>0.92044000000000004</v>
      </c>
      <c r="Q76">
        <v>1</v>
      </c>
      <c r="R76" s="9" t="s">
        <v>149</v>
      </c>
      <c r="S76" s="9">
        <v>4</v>
      </c>
      <c r="T76">
        <v>1.7455348492557801</v>
      </c>
      <c r="U76">
        <f t="shared" si="3"/>
        <v>6.9821393970231203</v>
      </c>
    </row>
    <row r="77" spans="1:24" x14ac:dyDescent="0.35">
      <c r="A77" s="4" t="s">
        <v>45</v>
      </c>
      <c r="B77">
        <v>0.92375568730180624</v>
      </c>
      <c r="C77" s="16">
        <f t="shared" si="4"/>
        <v>0.26788914931752378</v>
      </c>
      <c r="D77" s="16">
        <f t="shared" si="5"/>
        <v>0.29104466268037438</v>
      </c>
      <c r="E77">
        <v>0.28999999999999998</v>
      </c>
      <c r="F77" t="s">
        <v>132</v>
      </c>
      <c r="G77">
        <v>0.67</v>
      </c>
      <c r="H77" s="7" t="s">
        <v>132</v>
      </c>
      <c r="J77">
        <v>0.92044000000000004</v>
      </c>
      <c r="Q77">
        <v>1</v>
      </c>
      <c r="R77" s="7" t="s">
        <v>139</v>
      </c>
      <c r="S77">
        <v>4</v>
      </c>
      <c r="T77">
        <v>0.36676529598584601</v>
      </c>
      <c r="U77">
        <f t="shared" si="3"/>
        <v>1.467061183943384</v>
      </c>
    </row>
    <row r="78" spans="1:24" x14ac:dyDescent="0.35">
      <c r="A78" s="4" t="s">
        <v>47</v>
      </c>
      <c r="B78">
        <v>1.1029918654349926</v>
      </c>
      <c r="C78" s="16">
        <f t="shared" si="4"/>
        <v>0.31986764097614784</v>
      </c>
      <c r="D78" s="16">
        <f t="shared" si="5"/>
        <v>0.34751601514074554</v>
      </c>
      <c r="E78">
        <v>0.28999999999999998</v>
      </c>
      <c r="F78" t="s">
        <v>133</v>
      </c>
      <c r="G78">
        <v>0.8</v>
      </c>
      <c r="H78" s="7" t="s">
        <v>133</v>
      </c>
      <c r="J78">
        <v>0.92044000000000004</v>
      </c>
      <c r="Q78">
        <v>1</v>
      </c>
      <c r="R78" s="7" t="s">
        <v>142</v>
      </c>
      <c r="S78">
        <v>3</v>
      </c>
      <c r="T78">
        <v>0.52059249409564101</v>
      </c>
      <c r="U78">
        <f t="shared" si="3"/>
        <v>1.561777482286923</v>
      </c>
    </row>
    <row r="79" spans="1:24" x14ac:dyDescent="0.35">
      <c r="A79" s="4" t="s">
        <v>49</v>
      </c>
      <c r="B79">
        <v>1.392527230111678</v>
      </c>
      <c r="C79" s="16">
        <f t="shared" si="4"/>
        <v>0.40383289673238659</v>
      </c>
      <c r="D79" s="16">
        <f t="shared" si="5"/>
        <v>0.43873896911519117</v>
      </c>
      <c r="E79">
        <v>0.28999999999999998</v>
      </c>
      <c r="F79" t="s">
        <v>134</v>
      </c>
      <c r="G79">
        <v>1.01</v>
      </c>
      <c r="H79" s="7" t="s">
        <v>134</v>
      </c>
      <c r="J79">
        <v>0.92044000000000004</v>
      </c>
      <c r="Q79">
        <v>1</v>
      </c>
      <c r="R79" s="17" t="s">
        <v>184</v>
      </c>
      <c r="S79">
        <v>5</v>
      </c>
      <c r="T79">
        <v>0.43837128065748199</v>
      </c>
      <c r="U79">
        <f t="shared" si="3"/>
        <v>2.1918564032874102</v>
      </c>
    </row>
    <row r="80" spans="1:24" x14ac:dyDescent="0.35">
      <c r="A80" s="4" t="s">
        <v>51</v>
      </c>
      <c r="B80">
        <v>1.7509995863780505</v>
      </c>
      <c r="C80" s="16">
        <f t="shared" si="4"/>
        <v>0.50778988004963466</v>
      </c>
      <c r="D80" s="16">
        <f t="shared" si="5"/>
        <v>0.55168167403593349</v>
      </c>
      <c r="E80">
        <v>0.28999999999999998</v>
      </c>
      <c r="F80" t="s">
        <v>135</v>
      </c>
      <c r="G80">
        <v>1.27</v>
      </c>
      <c r="H80" s="7" t="s">
        <v>135</v>
      </c>
      <c r="J80">
        <v>0.92044000000000004</v>
      </c>
      <c r="Q80">
        <v>1</v>
      </c>
      <c r="R80" s="7" t="s">
        <v>158</v>
      </c>
      <c r="S80">
        <v>4</v>
      </c>
      <c r="T80">
        <v>0.844084528380458</v>
      </c>
      <c r="U80">
        <f t="shared" si="3"/>
        <v>3.376338113521832</v>
      </c>
    </row>
    <row r="81" spans="1:21" x14ac:dyDescent="0.35">
      <c r="A81" s="10" t="s">
        <v>52</v>
      </c>
      <c r="B81">
        <v>0.77209430580449478</v>
      </c>
      <c r="C81" s="16">
        <f t="shared" si="4"/>
        <v>0.22390734868330348</v>
      </c>
      <c r="D81" s="16">
        <f t="shared" si="5"/>
        <v>0.24326121059852188</v>
      </c>
      <c r="E81">
        <v>0.28999999999999998</v>
      </c>
      <c r="F81" t="s">
        <v>136</v>
      </c>
      <c r="G81">
        <v>0.56000000000000005</v>
      </c>
      <c r="H81" s="7" t="s">
        <v>136</v>
      </c>
      <c r="J81">
        <v>0.92044000000000004</v>
      </c>
      <c r="Q81">
        <v>1</v>
      </c>
      <c r="R81" s="7" t="s">
        <v>160</v>
      </c>
      <c r="S81">
        <v>6</v>
      </c>
      <c r="T81">
        <v>0.148410845351646</v>
      </c>
      <c r="U81">
        <f t="shared" si="3"/>
        <v>0.89046507210987602</v>
      </c>
    </row>
    <row r="82" spans="1:21" x14ac:dyDescent="0.35">
      <c r="A82" s="10" t="s">
        <v>54</v>
      </c>
      <c r="B82">
        <v>2.578243485454295</v>
      </c>
      <c r="C82" s="16">
        <f t="shared" si="4"/>
        <v>0.74769061078174548</v>
      </c>
      <c r="D82" s="16">
        <f t="shared" si="5"/>
        <v>0.81231868539149266</v>
      </c>
      <c r="E82">
        <v>0.28999999999999998</v>
      </c>
      <c r="F82" t="s">
        <v>137</v>
      </c>
      <c r="G82">
        <v>1.87</v>
      </c>
      <c r="H82" s="7" t="s">
        <v>137</v>
      </c>
      <c r="J82">
        <v>0.92044000000000004</v>
      </c>
      <c r="Q82">
        <v>1</v>
      </c>
      <c r="R82" s="7" t="s">
        <v>187</v>
      </c>
      <c r="S82">
        <v>5</v>
      </c>
      <c r="T82">
        <v>2.0176703956514799</v>
      </c>
      <c r="U82">
        <f t="shared" si="3"/>
        <v>10.0883519782574</v>
      </c>
    </row>
    <row r="83" spans="1:21" x14ac:dyDescent="0.35">
      <c r="A83" s="4" t="s">
        <v>55</v>
      </c>
      <c r="B83">
        <v>2.9367158417206674</v>
      </c>
      <c r="C83" s="16">
        <f t="shared" si="4"/>
        <v>0.85164759409899349</v>
      </c>
      <c r="D83" s="16">
        <f t="shared" si="5"/>
        <v>0.92526139031223487</v>
      </c>
      <c r="E83">
        <v>0.28999999999999998</v>
      </c>
      <c r="F83" t="s">
        <v>138</v>
      </c>
      <c r="G83">
        <v>2.13</v>
      </c>
      <c r="H83" s="7" t="s">
        <v>149</v>
      </c>
      <c r="J83">
        <v>0.92044000000000004</v>
      </c>
      <c r="Q83">
        <v>1</v>
      </c>
      <c r="R83" s="7" t="s">
        <v>188</v>
      </c>
      <c r="S83">
        <v>5</v>
      </c>
      <c r="T83">
        <v>0.69365548625748996</v>
      </c>
      <c r="U83">
        <f t="shared" si="3"/>
        <v>3.4682774312874498</v>
      </c>
    </row>
    <row r="84" spans="1:21" x14ac:dyDescent="0.35">
      <c r="A84" s="4" t="s">
        <v>57</v>
      </c>
      <c r="B84">
        <v>0.62043292430718333</v>
      </c>
      <c r="C84" s="16">
        <f t="shared" si="4"/>
        <v>0.17992554804908314</v>
      </c>
      <c r="D84" s="16">
        <f t="shared" si="5"/>
        <v>0.19547775851666935</v>
      </c>
      <c r="E84">
        <v>0.28999999999999998</v>
      </c>
      <c r="F84" t="s">
        <v>139</v>
      </c>
      <c r="G84">
        <v>0.45</v>
      </c>
      <c r="H84" s="7" t="s">
        <v>139</v>
      </c>
      <c r="J84">
        <v>0.92044000000000004</v>
      </c>
      <c r="U84">
        <f>SUM(U70:U83)</f>
        <v>56.201724044794929</v>
      </c>
    </row>
    <row r="85" spans="1:21" x14ac:dyDescent="0.35">
      <c r="A85" s="11" t="s">
        <v>59</v>
      </c>
      <c r="B85">
        <v>1.4752516200193027</v>
      </c>
      <c r="C85" s="16">
        <f t="shared" si="4"/>
        <v>0.42782296980559775</v>
      </c>
      <c r="D85" s="16">
        <f t="shared" si="5"/>
        <v>0.46480267025074717</v>
      </c>
      <c r="E85">
        <v>0.28999999999999998</v>
      </c>
      <c r="F85" t="s">
        <v>140</v>
      </c>
      <c r="G85">
        <v>1.07</v>
      </c>
      <c r="H85" s="7" t="s">
        <v>140</v>
      </c>
      <c r="J85">
        <v>0.92044000000000004</v>
      </c>
      <c r="U85">
        <f>U84*2</f>
        <v>112.40344808958986</v>
      </c>
    </row>
    <row r="86" spans="1:21" x14ac:dyDescent="0.35">
      <c r="A86" s="4" t="s">
        <v>61</v>
      </c>
      <c r="B86">
        <v>1.6269130015166138</v>
      </c>
      <c r="C86" s="16">
        <f t="shared" si="4"/>
        <v>0.47180477043981794</v>
      </c>
      <c r="D86" s="16">
        <f t="shared" si="5"/>
        <v>0.51258612233259959</v>
      </c>
      <c r="E86">
        <v>0.28999999999999998</v>
      </c>
      <c r="F86" t="s">
        <v>141</v>
      </c>
      <c r="G86">
        <v>1.18</v>
      </c>
      <c r="H86" s="7" t="s">
        <v>141</v>
      </c>
      <c r="J86">
        <v>0.92044000000000004</v>
      </c>
    </row>
    <row r="87" spans="1:21" x14ac:dyDescent="0.35">
      <c r="A87" s="4" t="s">
        <v>63</v>
      </c>
      <c r="B87">
        <v>1.971597959465049</v>
      </c>
      <c r="C87" s="16">
        <f t="shared" si="4"/>
        <v>0.57176340824486416</v>
      </c>
      <c r="D87" s="16">
        <f t="shared" si="5"/>
        <v>0.62118487706408254</v>
      </c>
      <c r="E87">
        <v>0.28999999999999998</v>
      </c>
      <c r="F87" t="s">
        <v>142</v>
      </c>
      <c r="G87">
        <v>1.43</v>
      </c>
      <c r="H87" s="7" t="s">
        <v>142</v>
      </c>
      <c r="J87">
        <v>0.92044000000000004</v>
      </c>
    </row>
    <row r="88" spans="1:21" x14ac:dyDescent="0.35">
      <c r="A88" s="10" t="s">
        <v>65</v>
      </c>
      <c r="B88">
        <v>1.6682751964704261</v>
      </c>
      <c r="C88" s="16">
        <f t="shared" si="4"/>
        <v>0.48379980697642355</v>
      </c>
      <c r="D88" s="16">
        <f t="shared" si="5"/>
        <v>0.52561797290037759</v>
      </c>
      <c r="E88">
        <v>0.28999999999999998</v>
      </c>
      <c r="F88" t="s">
        <v>143</v>
      </c>
      <c r="G88">
        <v>1.21</v>
      </c>
      <c r="H88" s="7" t="s">
        <v>143</v>
      </c>
      <c r="J88">
        <v>0.92044000000000004</v>
      </c>
    </row>
    <row r="89" spans="1:21" x14ac:dyDescent="0.35">
      <c r="A89" s="10" t="s">
        <v>67</v>
      </c>
      <c r="B89">
        <v>1.158141458706742</v>
      </c>
      <c r="C89" s="16">
        <f t="shared" si="4"/>
        <v>0.33586102302495519</v>
      </c>
      <c r="D89" s="16">
        <f t="shared" si="5"/>
        <v>0.36489181589778275</v>
      </c>
      <c r="E89">
        <v>0.28999999999999998</v>
      </c>
      <c r="F89" t="s">
        <v>144</v>
      </c>
      <c r="G89">
        <v>0.84</v>
      </c>
      <c r="H89" s="7" t="s">
        <v>144</v>
      </c>
      <c r="J89">
        <v>0.92044000000000004</v>
      </c>
    </row>
    <row r="90" spans="1:21" x14ac:dyDescent="0.35">
      <c r="A90" s="11" t="s">
        <v>69</v>
      </c>
      <c r="B90">
        <v>20.612160485316423</v>
      </c>
      <c r="C90" s="16">
        <f t="shared" si="4"/>
        <v>5.9775265407417626</v>
      </c>
      <c r="D90" s="16">
        <f t="shared" si="5"/>
        <v>6.494205532942682</v>
      </c>
      <c r="E90">
        <v>0.28999999999999998</v>
      </c>
      <c r="F90" t="s">
        <v>145</v>
      </c>
      <c r="G90">
        <v>14.95</v>
      </c>
      <c r="H90" s="7" t="s">
        <v>145</v>
      </c>
      <c r="J90">
        <v>0.92044000000000004</v>
      </c>
    </row>
    <row r="91" spans="1:21" x14ac:dyDescent="0.35">
      <c r="A91" s="12" t="s">
        <v>71</v>
      </c>
      <c r="B91">
        <v>0.62043292430718333</v>
      </c>
      <c r="C91" s="16">
        <f t="shared" si="4"/>
        <v>0.17992554804908314</v>
      </c>
      <c r="D91" s="16">
        <f t="shared" si="5"/>
        <v>0.19547775851666935</v>
      </c>
      <c r="E91">
        <v>0.28999999999999998</v>
      </c>
      <c r="F91" t="s">
        <v>146</v>
      </c>
      <c r="G91">
        <v>0.45</v>
      </c>
      <c r="H91" s="7" t="s">
        <v>146</v>
      </c>
      <c r="J91">
        <v>0.92044000000000004</v>
      </c>
    </row>
    <row r="92" spans="1:21" x14ac:dyDescent="0.35">
      <c r="A92" s="11" t="s">
        <v>73</v>
      </c>
      <c r="B92">
        <v>3.2676134013511655</v>
      </c>
      <c r="C92" s="16">
        <f t="shared" si="4"/>
        <v>0.94760788639183791</v>
      </c>
      <c r="D92" s="16">
        <f t="shared" si="5"/>
        <v>1.0295161948544587</v>
      </c>
      <c r="E92">
        <v>0.28999999999999998</v>
      </c>
      <c r="F92" t="s">
        <v>147</v>
      </c>
      <c r="G92">
        <v>2.37</v>
      </c>
      <c r="H92" s="7" t="s">
        <v>147</v>
      </c>
      <c r="J92">
        <v>0.92044000000000004</v>
      </c>
    </row>
    <row r="93" spans="1:21" x14ac:dyDescent="0.35">
      <c r="A93" s="12" t="s">
        <v>75</v>
      </c>
      <c r="B93">
        <v>2.2749207224596719</v>
      </c>
      <c r="C93" s="16">
        <f t="shared" si="4"/>
        <v>0.65972700951330476</v>
      </c>
      <c r="D93" s="16">
        <f t="shared" si="5"/>
        <v>0.71675178122778749</v>
      </c>
      <c r="E93">
        <v>0.28999999999999998</v>
      </c>
      <c r="F93" t="s">
        <v>148</v>
      </c>
      <c r="G93">
        <v>1.65</v>
      </c>
      <c r="H93" s="7" t="s">
        <v>148</v>
      </c>
      <c r="J93">
        <v>0.92044000000000004</v>
      </c>
    </row>
    <row r="94" spans="1:21" x14ac:dyDescent="0.35">
      <c r="A94" s="11" t="s">
        <v>76</v>
      </c>
      <c r="B94">
        <v>4.6049910381910939</v>
      </c>
      <c r="C94" s="16">
        <f t="shared" si="4"/>
        <v>1.3354474010754172</v>
      </c>
      <c r="D94" s="16">
        <f t="shared" si="5"/>
        <v>1.4508793632126125</v>
      </c>
      <c r="E94">
        <v>0.28999999999999998</v>
      </c>
      <c r="F94" t="s">
        <v>149</v>
      </c>
      <c r="G94">
        <v>3.34</v>
      </c>
      <c r="H94" s="7" t="s">
        <v>150</v>
      </c>
      <c r="J94">
        <v>0.92044000000000004</v>
      </c>
    </row>
    <row r="95" spans="1:21" x14ac:dyDescent="0.35">
      <c r="A95" s="10" t="s">
        <v>78</v>
      </c>
      <c r="B95">
        <v>0.5652833310354336</v>
      </c>
      <c r="C95" s="16">
        <f t="shared" si="4"/>
        <v>0.16393216600027574</v>
      </c>
      <c r="D95" s="16">
        <f t="shared" si="5"/>
        <v>0.17810195775963206</v>
      </c>
      <c r="E95">
        <v>0.28999999999999998</v>
      </c>
      <c r="F95" t="s">
        <v>150</v>
      </c>
      <c r="G95">
        <v>0.41</v>
      </c>
      <c r="H95" s="7" t="s">
        <v>181</v>
      </c>
      <c r="J95">
        <v>0.92044000000000004</v>
      </c>
    </row>
    <row r="96" spans="1:21" x14ac:dyDescent="0.35">
      <c r="A96" s="11" t="s">
        <v>79</v>
      </c>
      <c r="B96">
        <v>3.9018337239762859</v>
      </c>
      <c r="C96" s="16">
        <f t="shared" si="4"/>
        <v>1.1315317799531228</v>
      </c>
      <c r="D96" s="16">
        <f t="shared" si="5"/>
        <v>1.2293379035603871</v>
      </c>
      <c r="E96">
        <v>0.28999999999999998</v>
      </c>
      <c r="F96" t="s">
        <v>151</v>
      </c>
      <c r="G96">
        <v>2.83</v>
      </c>
      <c r="H96" s="7" t="s">
        <v>182</v>
      </c>
      <c r="J96">
        <v>0.92044000000000004</v>
      </c>
    </row>
    <row r="97" spans="1:26" x14ac:dyDescent="0.35">
      <c r="A97" s="10" t="s">
        <v>81</v>
      </c>
      <c r="B97">
        <v>0.82724389907624429</v>
      </c>
      <c r="C97" s="16">
        <f t="shared" si="4"/>
        <v>0.23990073073211082</v>
      </c>
      <c r="D97" s="16">
        <f t="shared" si="5"/>
        <v>0.26063701135555911</v>
      </c>
      <c r="E97">
        <v>0.28999999999999998</v>
      </c>
      <c r="F97" t="s">
        <v>152</v>
      </c>
      <c r="G97">
        <v>0.6</v>
      </c>
      <c r="H97" s="7" t="s">
        <v>183</v>
      </c>
      <c r="J97">
        <v>0.92044000000000004</v>
      </c>
    </row>
    <row r="98" spans="1:26" x14ac:dyDescent="0.35">
      <c r="A98" s="11" t="s">
        <v>82</v>
      </c>
      <c r="B98">
        <v>17.248035295739694</v>
      </c>
      <c r="C98" s="16">
        <f t="shared" si="4"/>
        <v>5.0019302357645108</v>
      </c>
      <c r="D98" s="16">
        <f t="shared" si="5"/>
        <v>5.4342816867634074</v>
      </c>
      <c r="E98">
        <v>0.28999999999999998</v>
      </c>
      <c r="F98" t="s">
        <v>153</v>
      </c>
      <c r="G98">
        <v>12.51</v>
      </c>
      <c r="H98" s="7" t="s">
        <v>153</v>
      </c>
      <c r="J98">
        <v>0.92044000000000004</v>
      </c>
    </row>
    <row r="99" spans="1:26" x14ac:dyDescent="0.35">
      <c r="A99" s="4" t="s">
        <v>84</v>
      </c>
      <c r="B99">
        <v>0.96511788225561834</v>
      </c>
      <c r="C99" s="16">
        <f t="shared" si="4"/>
        <v>0.27988418585412927</v>
      </c>
      <c r="D99" s="16">
        <f t="shared" si="5"/>
        <v>0.30407651324815227</v>
      </c>
      <c r="E99">
        <v>0.28999999999999998</v>
      </c>
      <c r="F99" t="s">
        <v>154</v>
      </c>
      <c r="G99">
        <v>0.7</v>
      </c>
      <c r="H99" s="17" t="s">
        <v>184</v>
      </c>
      <c r="J99">
        <v>0.92044000000000004</v>
      </c>
    </row>
    <row r="100" spans="1:26" x14ac:dyDescent="0.35">
      <c r="A100" s="11" t="s">
        <v>86</v>
      </c>
      <c r="B100">
        <v>2.3438577140493591</v>
      </c>
      <c r="C100" s="16">
        <f t="shared" si="4"/>
        <v>0.67971873707431407</v>
      </c>
      <c r="D100" s="16">
        <f t="shared" si="5"/>
        <v>0.73847153217408423</v>
      </c>
      <c r="E100">
        <v>0.28999999999999998</v>
      </c>
      <c r="F100" t="s">
        <v>155</v>
      </c>
      <c r="G100">
        <v>1.7</v>
      </c>
      <c r="H100" s="7" t="s">
        <v>185</v>
      </c>
      <c r="J100">
        <v>0.92044000000000004</v>
      </c>
    </row>
    <row r="101" spans="1:26" x14ac:dyDescent="0.35">
      <c r="A101" s="10" t="s">
        <v>88</v>
      </c>
      <c r="B101">
        <v>0.38604715290224739</v>
      </c>
      <c r="C101" s="16">
        <f t="shared" si="4"/>
        <v>0.11195367434165174</v>
      </c>
      <c r="D101" s="16">
        <f t="shared" si="5"/>
        <v>0.12163060529926094</v>
      </c>
      <c r="E101">
        <v>0.28999999999999998</v>
      </c>
      <c r="F101" t="s">
        <v>156</v>
      </c>
      <c r="G101">
        <v>0.28000000000000003</v>
      </c>
      <c r="H101" s="7" t="s">
        <v>156</v>
      </c>
      <c r="J101">
        <v>0.92044000000000004</v>
      </c>
    </row>
    <row r="102" spans="1:26" x14ac:dyDescent="0.35">
      <c r="A102" s="10" t="s">
        <v>90</v>
      </c>
      <c r="B102">
        <v>0.5652833310354336</v>
      </c>
      <c r="C102" s="16">
        <f t="shared" si="4"/>
        <v>0.16393216600027574</v>
      </c>
      <c r="D102" s="16">
        <f t="shared" si="5"/>
        <v>0.17810195775963206</v>
      </c>
      <c r="E102">
        <v>0.28999999999999998</v>
      </c>
      <c r="F102" t="s">
        <v>157</v>
      </c>
      <c r="G102">
        <v>0.41</v>
      </c>
      <c r="H102" s="7" t="s">
        <v>186</v>
      </c>
      <c r="J102">
        <v>0.92044000000000004</v>
      </c>
    </row>
    <row r="103" spans="1:26" x14ac:dyDescent="0.35">
      <c r="A103" s="4" t="s">
        <v>91</v>
      </c>
      <c r="B103">
        <v>3.0608024265821046</v>
      </c>
      <c r="C103" s="16">
        <f t="shared" si="4"/>
        <v>0.88763270370881031</v>
      </c>
      <c r="D103" s="16">
        <f t="shared" si="5"/>
        <v>0.96435694201556899</v>
      </c>
      <c r="E103">
        <v>0.28999999999999998</v>
      </c>
      <c r="F103" t="s">
        <v>158</v>
      </c>
      <c r="G103">
        <v>2.2200000000000002</v>
      </c>
      <c r="H103" s="7" t="s">
        <v>158</v>
      </c>
      <c r="J103">
        <v>0.92044000000000004</v>
      </c>
    </row>
    <row r="104" spans="1:26" x14ac:dyDescent="0.35">
      <c r="A104" s="4" t="s">
        <v>93</v>
      </c>
      <c r="B104">
        <v>0.59285812767130841</v>
      </c>
      <c r="C104" s="16">
        <f t="shared" si="4"/>
        <v>0.17192885702467942</v>
      </c>
      <c r="D104" s="16">
        <f t="shared" si="5"/>
        <v>0.18678985813815069</v>
      </c>
      <c r="E104">
        <v>0.28999999999999998</v>
      </c>
      <c r="F104" t="s">
        <v>159</v>
      </c>
      <c r="G104">
        <v>0.43</v>
      </c>
      <c r="H104" s="7" t="s">
        <v>160</v>
      </c>
      <c r="J104">
        <v>0.92044000000000004</v>
      </c>
    </row>
    <row r="105" spans="1:26" x14ac:dyDescent="0.35">
      <c r="A105" s="4" t="s">
        <v>95</v>
      </c>
      <c r="B105">
        <v>8.0242658210395703</v>
      </c>
      <c r="C105" s="16">
        <f t="shared" si="4"/>
        <v>2.3270370881014752</v>
      </c>
      <c r="D105" s="16">
        <f t="shared" si="5"/>
        <v>2.5281790101489237</v>
      </c>
      <c r="E105">
        <v>0.28999999999999998</v>
      </c>
      <c r="F105" t="s">
        <v>160</v>
      </c>
      <c r="G105">
        <v>5.82</v>
      </c>
      <c r="H105" s="7" t="s">
        <v>187</v>
      </c>
      <c r="J105">
        <v>0.92044000000000004</v>
      </c>
    </row>
    <row r="106" spans="1:26" x14ac:dyDescent="0.35">
      <c r="A106" s="4" t="s">
        <v>97</v>
      </c>
      <c r="B106">
        <v>2.7574796635874814</v>
      </c>
      <c r="C106" s="16">
        <f t="shared" si="4"/>
        <v>0.79966910244036959</v>
      </c>
      <c r="D106" s="16">
        <f t="shared" si="5"/>
        <v>0.86879003785186382</v>
      </c>
      <c r="E106">
        <v>0.28999999999999998</v>
      </c>
      <c r="F106" t="s">
        <v>161</v>
      </c>
      <c r="G106">
        <v>2</v>
      </c>
      <c r="H106" s="7" t="s">
        <v>188</v>
      </c>
      <c r="J106">
        <v>0.92044000000000004</v>
      </c>
    </row>
    <row r="107" spans="1:26" x14ac:dyDescent="0.35">
      <c r="A107" s="14" t="s">
        <v>124</v>
      </c>
      <c r="E107">
        <v>0.2404</v>
      </c>
      <c r="T107" t="s">
        <v>759</v>
      </c>
      <c r="U107" t="s">
        <v>10</v>
      </c>
      <c r="V107" t="s">
        <v>12</v>
      </c>
      <c r="W107">
        <v>0</v>
      </c>
      <c r="X107" t="s">
        <v>760</v>
      </c>
      <c r="Y107" t="s">
        <v>761</v>
      </c>
      <c r="Z107" t="s">
        <v>762</v>
      </c>
    </row>
    <row r="108" spans="1:26" x14ac:dyDescent="0.35">
      <c r="A108" s="4" t="s">
        <v>116</v>
      </c>
      <c r="B108">
        <v>93.3</v>
      </c>
      <c r="C108" s="16">
        <f t="shared" ref="C108:C113" si="6">B108*E108</f>
        <v>22.429320000000001</v>
      </c>
      <c r="D108" s="16">
        <v>21.684080000000002</v>
      </c>
      <c r="E108">
        <v>0.2404</v>
      </c>
      <c r="H108" s="7" t="s">
        <v>189</v>
      </c>
      <c r="O108" s="15" t="s">
        <v>39</v>
      </c>
      <c r="P108" t="s">
        <v>127</v>
      </c>
      <c r="T108" t="s">
        <v>102</v>
      </c>
    </row>
    <row r="109" spans="1:26" x14ac:dyDescent="0.35">
      <c r="A109" s="4" t="s">
        <v>117</v>
      </c>
      <c r="B109">
        <v>0</v>
      </c>
      <c r="C109" s="16">
        <f t="shared" si="6"/>
        <v>0</v>
      </c>
      <c r="D109" s="16">
        <v>0.21636</v>
      </c>
      <c r="E109">
        <v>0.2404</v>
      </c>
      <c r="H109" s="7" t="s">
        <v>190</v>
      </c>
      <c r="O109" s="15" t="s">
        <v>41</v>
      </c>
      <c r="P109" t="s">
        <v>128</v>
      </c>
      <c r="T109" t="s">
        <v>207</v>
      </c>
    </row>
    <row r="110" spans="1:26" x14ac:dyDescent="0.35">
      <c r="A110" s="4" t="s">
        <v>118</v>
      </c>
      <c r="B110">
        <v>1.1000000000000001</v>
      </c>
      <c r="C110" s="16">
        <f t="shared" si="6"/>
        <v>0.26444000000000001</v>
      </c>
      <c r="D110" s="16">
        <v>0.72120000000000006</v>
      </c>
      <c r="E110">
        <v>0.2404</v>
      </c>
      <c r="H110" s="7" t="s">
        <v>191</v>
      </c>
      <c r="O110" s="15" t="s">
        <v>43</v>
      </c>
      <c r="T110" s="7" t="s">
        <v>131</v>
      </c>
    </row>
    <row r="111" spans="1:26" x14ac:dyDescent="0.35">
      <c r="A111" s="4" t="s">
        <v>119</v>
      </c>
      <c r="B111">
        <v>1.6</v>
      </c>
      <c r="C111" s="16">
        <f t="shared" si="6"/>
        <v>0.38464000000000004</v>
      </c>
      <c r="D111" s="16">
        <v>0.60099999999999998</v>
      </c>
      <c r="E111">
        <v>0.2404</v>
      </c>
      <c r="H111" s="7" t="s">
        <v>192</v>
      </c>
      <c r="O111" s="15" t="s">
        <v>45</v>
      </c>
      <c r="T111" t="s">
        <v>199</v>
      </c>
    </row>
    <row r="112" spans="1:26" x14ac:dyDescent="0.35">
      <c r="A112" s="4" t="s">
        <v>120</v>
      </c>
      <c r="B112">
        <v>1.9</v>
      </c>
      <c r="C112" s="16">
        <f t="shared" si="6"/>
        <v>0.45676</v>
      </c>
      <c r="D112" s="16">
        <v>0.45676</v>
      </c>
      <c r="E112">
        <v>0.2404</v>
      </c>
      <c r="H112" s="7" t="s">
        <v>193</v>
      </c>
      <c r="O112" s="15" t="s">
        <v>47</v>
      </c>
      <c r="T112" t="s">
        <v>208</v>
      </c>
    </row>
    <row r="113" spans="1:20" x14ac:dyDescent="0.35">
      <c r="A113" s="4" t="s">
        <v>121</v>
      </c>
      <c r="B113">
        <v>2</v>
      </c>
      <c r="C113" s="16">
        <f t="shared" si="6"/>
        <v>0.48080000000000001</v>
      </c>
      <c r="D113" s="16">
        <v>0.36060000000000003</v>
      </c>
      <c r="E113">
        <v>0.2404</v>
      </c>
      <c r="H113" s="7" t="s">
        <v>194</v>
      </c>
      <c r="O113" s="15" t="s">
        <v>49</v>
      </c>
      <c r="T113" t="s">
        <v>200</v>
      </c>
    </row>
    <row r="114" spans="1:20" x14ac:dyDescent="0.35">
      <c r="A114" s="14" t="s">
        <v>125</v>
      </c>
      <c r="E114">
        <v>27.63</v>
      </c>
      <c r="O114" s="15" t="s">
        <v>51</v>
      </c>
      <c r="T114" t="s">
        <v>201</v>
      </c>
    </row>
    <row r="115" spans="1:20" x14ac:dyDescent="0.35">
      <c r="A115" s="13" t="s">
        <v>162</v>
      </c>
      <c r="C115" s="16">
        <f>E114-E116</f>
        <v>22.33</v>
      </c>
      <c r="D115" s="16">
        <v>22.33</v>
      </c>
      <c r="O115" s="15"/>
      <c r="T115" s="7" t="s">
        <v>136</v>
      </c>
    </row>
    <row r="116" spans="1:20" x14ac:dyDescent="0.35">
      <c r="A116" s="13" t="s">
        <v>1</v>
      </c>
      <c r="C116" s="16">
        <v>5.3</v>
      </c>
      <c r="D116" s="16">
        <v>5.3</v>
      </c>
      <c r="E116">
        <v>5.3</v>
      </c>
      <c r="O116" s="15"/>
      <c r="T116" s="7" t="s">
        <v>137</v>
      </c>
    </row>
    <row r="117" spans="1:20" x14ac:dyDescent="0.35">
      <c r="A117" s="14" t="s">
        <v>126</v>
      </c>
      <c r="C117" s="16">
        <v>19.34</v>
      </c>
      <c r="D117" s="16">
        <v>19.34</v>
      </c>
      <c r="E117">
        <v>19.34</v>
      </c>
      <c r="O117" s="15" t="s">
        <v>52</v>
      </c>
      <c r="T117" s="9" t="s">
        <v>195</v>
      </c>
    </row>
    <row r="118" spans="1:20" x14ac:dyDescent="0.35">
      <c r="B118" t="s">
        <v>163</v>
      </c>
      <c r="C118" s="16">
        <f>SUM(C74:C117)</f>
        <v>99.985960000000006</v>
      </c>
      <c r="D118" s="16">
        <v>92.043699999999987</v>
      </c>
      <c r="O118" s="15" t="s">
        <v>54</v>
      </c>
      <c r="T118" t="s">
        <v>196</v>
      </c>
    </row>
    <row r="119" spans="1:20" x14ac:dyDescent="0.35">
      <c r="O119" s="15" t="s">
        <v>55</v>
      </c>
      <c r="T119" s="7" t="s">
        <v>140</v>
      </c>
    </row>
    <row r="120" spans="1:20" x14ac:dyDescent="0.35">
      <c r="O120" s="15" t="s">
        <v>57</v>
      </c>
      <c r="T120" s="7" t="s">
        <v>141</v>
      </c>
    </row>
    <row r="121" spans="1:20" x14ac:dyDescent="0.35">
      <c r="O121" s="15" t="s">
        <v>59</v>
      </c>
      <c r="T121" t="s">
        <v>197</v>
      </c>
    </row>
    <row r="122" spans="1:20" x14ac:dyDescent="0.35">
      <c r="O122" s="15" t="s">
        <v>61</v>
      </c>
      <c r="T122" s="7" t="s">
        <v>143</v>
      </c>
    </row>
    <row r="123" spans="1:20" x14ac:dyDescent="0.35">
      <c r="A123" s="7" t="s">
        <v>164</v>
      </c>
      <c r="O123" s="15" t="s">
        <v>63</v>
      </c>
      <c r="T123" s="7" t="s">
        <v>144</v>
      </c>
    </row>
    <row r="124" spans="1:20" x14ac:dyDescent="0.35">
      <c r="O124" s="15" t="s">
        <v>65</v>
      </c>
      <c r="T124" s="7" t="s">
        <v>145</v>
      </c>
    </row>
    <row r="125" spans="1:20" x14ac:dyDescent="0.35">
      <c r="O125" s="15" t="s">
        <v>67</v>
      </c>
      <c r="T125" s="7" t="s">
        <v>146</v>
      </c>
    </row>
    <row r="126" spans="1:20" x14ac:dyDescent="0.35">
      <c r="O126" s="15" t="s">
        <v>69</v>
      </c>
      <c r="T126" s="7" t="s">
        <v>147</v>
      </c>
    </row>
    <row r="127" spans="1:20" x14ac:dyDescent="0.35">
      <c r="O127" s="15" t="s">
        <v>71</v>
      </c>
      <c r="T127" s="7" t="s">
        <v>148</v>
      </c>
    </row>
    <row r="128" spans="1:20" x14ac:dyDescent="0.35">
      <c r="O128" s="15" t="s">
        <v>73</v>
      </c>
      <c r="T128" s="7" t="s">
        <v>150</v>
      </c>
    </row>
    <row r="129" spans="1:20" x14ac:dyDescent="0.35">
      <c r="O129" s="15" t="s">
        <v>75</v>
      </c>
      <c r="T129" s="7" t="s">
        <v>181</v>
      </c>
    </row>
    <row r="130" spans="1:20" x14ac:dyDescent="0.35">
      <c r="O130" s="15" t="s">
        <v>76</v>
      </c>
      <c r="T130" s="7" t="s">
        <v>182</v>
      </c>
    </row>
    <row r="131" spans="1:20" x14ac:dyDescent="0.35">
      <c r="O131" s="15" t="s">
        <v>78</v>
      </c>
      <c r="T131" s="7" t="s">
        <v>183</v>
      </c>
    </row>
    <row r="132" spans="1:20" x14ac:dyDescent="0.35">
      <c r="O132" s="15" t="s">
        <v>79</v>
      </c>
      <c r="T132" s="7" t="s">
        <v>153</v>
      </c>
    </row>
    <row r="133" spans="1:20" x14ac:dyDescent="0.35">
      <c r="K133" t="s">
        <v>1024</v>
      </c>
      <c r="O133" s="15" t="s">
        <v>81</v>
      </c>
      <c r="T133" t="s">
        <v>198</v>
      </c>
    </row>
    <row r="134" spans="1:20" x14ac:dyDescent="0.35">
      <c r="J134" t="s">
        <v>39</v>
      </c>
      <c r="K134">
        <v>131</v>
      </c>
      <c r="L134">
        <v>0.88239349234799402</v>
      </c>
      <c r="O134" s="15" t="s">
        <v>82</v>
      </c>
      <c r="T134" s="7" t="s">
        <v>185</v>
      </c>
    </row>
    <row r="135" spans="1:20" x14ac:dyDescent="0.35">
      <c r="D135" s="16" t="s">
        <v>163</v>
      </c>
      <c r="J135" t="s">
        <v>41</v>
      </c>
      <c r="K135">
        <v>150</v>
      </c>
      <c r="L135">
        <v>2.1921963325520477</v>
      </c>
      <c r="O135" s="15" t="s">
        <v>84</v>
      </c>
      <c r="T135" s="7" t="s">
        <v>156</v>
      </c>
    </row>
    <row r="136" spans="1:20" x14ac:dyDescent="0.35">
      <c r="A136" t="s">
        <v>38</v>
      </c>
      <c r="B136">
        <v>17.809999999999999</v>
      </c>
      <c r="C136" s="16">
        <f>(B136/$B$140)*100</f>
        <v>24.555356404246517</v>
      </c>
      <c r="D136" s="234">
        <f>SUM(M36:M49)</f>
        <v>24.555356404246524</v>
      </c>
      <c r="J136" s="7" t="s">
        <v>43</v>
      </c>
      <c r="K136">
        <v>161</v>
      </c>
      <c r="L136">
        <v>4.3292430718323454</v>
      </c>
      <c r="O136" s="15" t="s">
        <v>86</v>
      </c>
      <c r="T136" s="7" t="s">
        <v>186</v>
      </c>
    </row>
    <row r="137" spans="1:20" x14ac:dyDescent="0.35">
      <c r="A137" t="s">
        <v>1008</v>
      </c>
      <c r="B137">
        <v>43.56</v>
      </c>
      <c r="C137" s="16">
        <f t="shared" ref="C137:C139" si="7">(B137/$B$140)*100</f>
        <v>60.057907072935336</v>
      </c>
      <c r="D137" s="234">
        <f>SUM(M50:M62)</f>
        <v>60.057907072935336</v>
      </c>
      <c r="J137" t="s">
        <v>45</v>
      </c>
      <c r="K137">
        <v>183.4</v>
      </c>
      <c r="L137">
        <v>0.92375568730180624</v>
      </c>
      <c r="O137" s="15" t="s">
        <v>88</v>
      </c>
      <c r="T137" t="s">
        <v>202</v>
      </c>
    </row>
    <row r="138" spans="1:20" x14ac:dyDescent="0.35">
      <c r="A138" t="s">
        <v>1009</v>
      </c>
      <c r="B138">
        <v>0.69</v>
      </c>
      <c r="C138" s="16">
        <f t="shared" si="7"/>
        <v>0.95133048393768083</v>
      </c>
      <c r="D138" s="234">
        <v>1</v>
      </c>
      <c r="J138" t="s">
        <v>47</v>
      </c>
      <c r="K138">
        <v>204</v>
      </c>
      <c r="L138">
        <v>1.1029918654349926</v>
      </c>
      <c r="O138" s="15" t="s">
        <v>90</v>
      </c>
      <c r="T138" t="s">
        <v>203</v>
      </c>
    </row>
    <row r="139" spans="1:20" x14ac:dyDescent="0.35">
      <c r="A139" t="s">
        <v>1010</v>
      </c>
      <c r="B139">
        <v>10.47</v>
      </c>
      <c r="C139" s="16">
        <f t="shared" si="7"/>
        <v>14.435406038880464</v>
      </c>
      <c r="D139" s="234">
        <v>15</v>
      </c>
      <c r="J139" t="s">
        <v>49</v>
      </c>
      <c r="K139">
        <v>191</v>
      </c>
      <c r="L139">
        <v>1.392527230111678</v>
      </c>
      <c r="O139" s="15" t="s">
        <v>91</v>
      </c>
      <c r="T139" t="s">
        <v>204</v>
      </c>
    </row>
    <row r="140" spans="1:20" x14ac:dyDescent="0.35">
      <c r="B140">
        <f>SUM(B136:B139)</f>
        <v>72.53</v>
      </c>
      <c r="C140">
        <f>SUM(C136:C139)</f>
        <v>99.999999999999986</v>
      </c>
      <c r="D140" s="16">
        <f>SUM(D136:D139)</f>
        <v>100.61326347718186</v>
      </c>
      <c r="J140" t="s">
        <v>51</v>
      </c>
      <c r="K140">
        <v>158</v>
      </c>
      <c r="L140">
        <v>1.7509995863780505</v>
      </c>
      <c r="O140" s="15" t="s">
        <v>93</v>
      </c>
      <c r="T140" t="s">
        <v>205</v>
      </c>
    </row>
    <row r="141" spans="1:20" x14ac:dyDescent="0.35">
      <c r="J141" s="7" t="s">
        <v>52</v>
      </c>
      <c r="K141">
        <v>167.53</v>
      </c>
      <c r="L141">
        <v>0.77209430580449478</v>
      </c>
      <c r="O141" s="15" t="s">
        <v>95</v>
      </c>
    </row>
    <row r="142" spans="1:20" x14ac:dyDescent="0.35">
      <c r="J142" s="7" t="s">
        <v>54</v>
      </c>
      <c r="K142">
        <v>172.4</v>
      </c>
      <c r="L142">
        <v>2.578243485454295</v>
      </c>
      <c r="O142" s="15" t="s">
        <v>97</v>
      </c>
    </row>
    <row r="143" spans="1:20" x14ac:dyDescent="0.35">
      <c r="B143" t="s">
        <v>1012</v>
      </c>
      <c r="C143" s="16" t="s">
        <v>1013</v>
      </c>
      <c r="J143" t="s">
        <v>55</v>
      </c>
      <c r="K143">
        <v>178.7</v>
      </c>
      <c r="L143">
        <v>2.9367158417206674</v>
      </c>
    </row>
    <row r="144" spans="1:20" x14ac:dyDescent="0.35">
      <c r="A144" t="s">
        <v>1011</v>
      </c>
      <c r="B144" t="s">
        <v>1019</v>
      </c>
      <c r="J144" t="s">
        <v>57</v>
      </c>
      <c r="K144" s="235">
        <v>247</v>
      </c>
      <c r="L144">
        <v>0.62043292430718333</v>
      </c>
    </row>
    <row r="145" spans="1:12" x14ac:dyDescent="0.35">
      <c r="A145" t="s">
        <v>1014</v>
      </c>
      <c r="B145" t="s">
        <v>1020</v>
      </c>
      <c r="J145" s="8" t="s">
        <v>59</v>
      </c>
      <c r="K145" s="235">
        <v>341.8</v>
      </c>
      <c r="L145">
        <v>1.4752516200193027</v>
      </c>
    </row>
    <row r="146" spans="1:12" x14ac:dyDescent="0.35">
      <c r="A146" t="s">
        <v>1015</v>
      </c>
      <c r="B146" t="s">
        <v>1021</v>
      </c>
      <c r="J146" t="s">
        <v>61</v>
      </c>
      <c r="L146">
        <v>1.6269130015166138</v>
      </c>
    </row>
    <row r="147" spans="1:12" x14ac:dyDescent="0.35">
      <c r="A147" t="s">
        <v>1016</v>
      </c>
      <c r="B147" t="s">
        <v>1022</v>
      </c>
      <c r="J147" t="s">
        <v>63</v>
      </c>
      <c r="K147">
        <f>469.61-273.13</f>
        <v>196.48000000000002</v>
      </c>
      <c r="L147">
        <v>1.971597959465049</v>
      </c>
    </row>
    <row r="148" spans="1:12" x14ac:dyDescent="0.35">
      <c r="A148" t="s">
        <v>1017</v>
      </c>
      <c r="B148" t="s">
        <v>1023</v>
      </c>
      <c r="J148" s="7" t="s">
        <v>65</v>
      </c>
      <c r="K148">
        <v>181.7</v>
      </c>
      <c r="L148">
        <v>1.6682751964704261</v>
      </c>
    </row>
    <row r="149" spans="1:12" x14ac:dyDescent="0.35">
      <c r="A149" t="s">
        <v>1018</v>
      </c>
      <c r="J149" s="7" t="s">
        <v>67</v>
      </c>
      <c r="K149">
        <v>191</v>
      </c>
      <c r="L149">
        <v>1.158141458706742</v>
      </c>
    </row>
    <row r="150" spans="1:12" x14ac:dyDescent="0.35">
      <c r="J150" s="8" t="s">
        <v>69</v>
      </c>
      <c r="K150" s="235">
        <v>243</v>
      </c>
      <c r="L150">
        <v>20.612160485316423</v>
      </c>
    </row>
    <row r="151" spans="1:12" x14ac:dyDescent="0.35">
      <c r="J151" s="9" t="s">
        <v>71</v>
      </c>
      <c r="K151">
        <v>218</v>
      </c>
      <c r="L151">
        <v>0.62043292430718333</v>
      </c>
    </row>
    <row r="152" spans="1:12" x14ac:dyDescent="0.35">
      <c r="J152" s="8" t="s">
        <v>73</v>
      </c>
      <c r="K152" s="235">
        <v>222</v>
      </c>
      <c r="L152">
        <v>3.2676134013511655</v>
      </c>
    </row>
    <row r="153" spans="1:12" x14ac:dyDescent="0.35">
      <c r="J153" s="9" t="s">
        <v>75</v>
      </c>
      <c r="K153" s="235">
        <v>245</v>
      </c>
      <c r="L153">
        <v>2.2749207224596719</v>
      </c>
    </row>
    <row r="154" spans="1:12" x14ac:dyDescent="0.35">
      <c r="J154" s="8" t="s">
        <v>76</v>
      </c>
      <c r="K154" s="235">
        <v>330</v>
      </c>
      <c r="L154">
        <v>4.6049910381910939</v>
      </c>
    </row>
    <row r="155" spans="1:12" x14ac:dyDescent="0.35">
      <c r="J155" s="7" t="s">
        <v>78</v>
      </c>
      <c r="K155" s="235">
        <v>241</v>
      </c>
      <c r="L155">
        <v>0.5652833310354336</v>
      </c>
    </row>
    <row r="156" spans="1:12" x14ac:dyDescent="0.35">
      <c r="J156" s="8" t="s">
        <v>79</v>
      </c>
      <c r="K156" s="235">
        <v>236</v>
      </c>
      <c r="L156">
        <v>3.9018337239762859</v>
      </c>
    </row>
    <row r="157" spans="1:12" x14ac:dyDescent="0.35">
      <c r="J157" s="7" t="s">
        <v>81</v>
      </c>
      <c r="K157" s="235">
        <v>251</v>
      </c>
      <c r="L157">
        <v>0.82724389907624429</v>
      </c>
    </row>
    <row r="158" spans="1:12" x14ac:dyDescent="0.35">
      <c r="J158" s="8" t="s">
        <v>82</v>
      </c>
      <c r="K158" s="235">
        <v>261</v>
      </c>
      <c r="L158">
        <v>17.248035295739694</v>
      </c>
    </row>
    <row r="159" spans="1:12" x14ac:dyDescent="0.35">
      <c r="J159" t="s">
        <v>84</v>
      </c>
      <c r="K159" s="235">
        <f>559.58-273.13</f>
        <v>286.45000000000005</v>
      </c>
      <c r="L159">
        <v>0.96511788225561834</v>
      </c>
    </row>
    <row r="160" spans="1:12" x14ac:dyDescent="0.35">
      <c r="J160" s="8" t="s">
        <v>86</v>
      </c>
      <c r="K160" s="235">
        <v>263</v>
      </c>
      <c r="L160">
        <v>2.3438577140493591</v>
      </c>
    </row>
    <row r="161" spans="1:14" x14ac:dyDescent="0.35">
      <c r="J161" s="7" t="s">
        <v>88</v>
      </c>
      <c r="K161" s="235">
        <v>351</v>
      </c>
      <c r="L161">
        <v>0.38604715290224739</v>
      </c>
    </row>
    <row r="162" spans="1:14" x14ac:dyDescent="0.35">
      <c r="J162" s="7" t="s">
        <v>90</v>
      </c>
      <c r="K162" s="235">
        <v>286</v>
      </c>
      <c r="L162">
        <v>0.5652833310354336</v>
      </c>
    </row>
    <row r="163" spans="1:14" x14ac:dyDescent="0.35">
      <c r="J163" t="s">
        <v>91</v>
      </c>
      <c r="K163" s="235">
        <v>417</v>
      </c>
      <c r="L163">
        <v>3.0608024265821046</v>
      </c>
    </row>
    <row r="164" spans="1:14" x14ac:dyDescent="0.35">
      <c r="A164" t="s">
        <v>1065</v>
      </c>
      <c r="B164" t="s">
        <v>210</v>
      </c>
      <c r="C164" t="s">
        <v>1072</v>
      </c>
      <c r="D164" s="7" t="s">
        <v>1066</v>
      </c>
      <c r="E164" t="s">
        <v>1073</v>
      </c>
      <c r="J164" t="s">
        <v>93</v>
      </c>
      <c r="K164" s="235">
        <v>373</v>
      </c>
      <c r="L164">
        <v>0.59285812767130841</v>
      </c>
    </row>
    <row r="165" spans="1:14" x14ac:dyDescent="0.35">
      <c r="A165">
        <v>1</v>
      </c>
      <c r="B165" s="7" t="s">
        <v>191</v>
      </c>
      <c r="C165">
        <v>2</v>
      </c>
      <c r="D165">
        <v>4.4484006285369704</v>
      </c>
      <c r="E165">
        <f>D165*(C165/A165)</f>
        <v>8.8968012570739408</v>
      </c>
      <c r="J165" t="s">
        <v>95</v>
      </c>
      <c r="K165" s="235">
        <v>371</v>
      </c>
      <c r="L165">
        <v>8.0242658210395703</v>
      </c>
    </row>
    <row r="166" spans="1:14" x14ac:dyDescent="0.35">
      <c r="A166">
        <v>2</v>
      </c>
      <c r="B166" s="7" t="s">
        <v>689</v>
      </c>
      <c r="C166">
        <v>7</v>
      </c>
      <c r="D166">
        <v>3.4605486625586601</v>
      </c>
      <c r="E166">
        <f t="shared" ref="E166:E170" si="8">D166*(C166/A166)</f>
        <v>12.11192031895531</v>
      </c>
      <c r="J166" t="s">
        <v>97</v>
      </c>
      <c r="K166" s="235">
        <v>351</v>
      </c>
      <c r="L166">
        <v>2.7574796635874814</v>
      </c>
      <c r="N166">
        <f>SUM(L152:L166,L150,L144,L145)</f>
        <v>74.093478560595614</v>
      </c>
    </row>
    <row r="167" spans="1:14" x14ac:dyDescent="0.35">
      <c r="A167">
        <v>1</v>
      </c>
      <c r="B167" s="7" t="s">
        <v>190</v>
      </c>
      <c r="C167">
        <v>0.5</v>
      </c>
      <c r="D167">
        <v>0.62555418367952598</v>
      </c>
      <c r="E167">
        <f t="shared" si="8"/>
        <v>0.31277709183976299</v>
      </c>
    </row>
    <row r="168" spans="1:14" x14ac:dyDescent="0.35">
      <c r="A168">
        <v>1</v>
      </c>
      <c r="B168" s="7" t="s">
        <v>691</v>
      </c>
      <c r="C168">
        <v>5</v>
      </c>
      <c r="D168">
        <v>2.80190012930901</v>
      </c>
      <c r="E168">
        <f t="shared" si="8"/>
        <v>14.00950064654505</v>
      </c>
    </row>
    <row r="169" spans="1:14" x14ac:dyDescent="0.35">
      <c r="A169">
        <v>1</v>
      </c>
      <c r="B169" s="7" t="s">
        <v>690</v>
      </c>
      <c r="C169">
        <v>6.5</v>
      </c>
      <c r="D169">
        <v>2.2379330230166499</v>
      </c>
      <c r="E169">
        <f t="shared" si="8"/>
        <v>14.546564649608225</v>
      </c>
    </row>
    <row r="170" spans="1:14" x14ac:dyDescent="0.35">
      <c r="A170">
        <v>1</v>
      </c>
      <c r="B170" s="7" t="s">
        <v>1074</v>
      </c>
      <c r="C170">
        <v>1</v>
      </c>
      <c r="D170">
        <v>503.10095576062997</v>
      </c>
      <c r="E170">
        <f t="shared" si="8"/>
        <v>503.10095576062997</v>
      </c>
    </row>
    <row r="171" spans="1:14" x14ac:dyDescent="0.35">
      <c r="B171" s="9"/>
      <c r="C171" s="9"/>
      <c r="D171"/>
      <c r="E171">
        <f>SUM(E165:E170)</f>
        <v>552.9785197246523</v>
      </c>
    </row>
    <row r="172" spans="1:14" x14ac:dyDescent="0.35">
      <c r="B172" s="7"/>
      <c r="C172"/>
      <c r="D172"/>
    </row>
    <row r="173" spans="1:14" x14ac:dyDescent="0.35">
      <c r="B173" s="7"/>
      <c r="C173"/>
      <c r="D173"/>
    </row>
    <row r="174" spans="1:14" x14ac:dyDescent="0.35">
      <c r="B174" s="17"/>
      <c r="C174"/>
      <c r="D174"/>
    </row>
    <row r="175" spans="1:14" x14ac:dyDescent="0.35">
      <c r="B175" s="7"/>
      <c r="C175"/>
      <c r="D175"/>
    </row>
    <row r="176" spans="1:14" x14ac:dyDescent="0.35">
      <c r="B176" s="7"/>
      <c r="C176"/>
      <c r="D176">
        <v>100</v>
      </c>
      <c r="E176">
        <v>21</v>
      </c>
    </row>
    <row r="177" spans="2:5" x14ac:dyDescent="0.35">
      <c r="B177" s="7"/>
      <c r="C177"/>
      <c r="D177">
        <f>D176*E177/E176</f>
        <v>2633.3333333333335</v>
      </c>
      <c r="E177">
        <v>553</v>
      </c>
    </row>
    <row r="178" spans="2:5" x14ac:dyDescent="0.35">
      <c r="B178" s="7"/>
      <c r="C178"/>
      <c r="D178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8"/>
  <sheetViews>
    <sheetView topLeftCell="A37" workbookViewId="0">
      <selection activeCell="C22" sqref="C22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92" t="s">
        <v>938</v>
      </c>
      <c r="B1" s="193"/>
      <c r="C1" s="194"/>
    </row>
    <row r="2" spans="1:3" x14ac:dyDescent="0.35">
      <c r="A2" s="195" t="s">
        <v>939</v>
      </c>
      <c r="B2" s="131" t="s">
        <v>513</v>
      </c>
      <c r="C2" s="196">
        <f>'Mass balances '!D5</f>
        <v>62500</v>
      </c>
    </row>
    <row r="3" spans="1:3" x14ac:dyDescent="0.35">
      <c r="A3" s="195" t="s">
        <v>940</v>
      </c>
      <c r="B3" s="131" t="s">
        <v>941</v>
      </c>
      <c r="C3" s="155">
        <f>'Mass balances '!D6</f>
        <v>24500</v>
      </c>
    </row>
    <row r="4" spans="1:3" x14ac:dyDescent="0.35">
      <c r="A4" s="195" t="s">
        <v>942</v>
      </c>
      <c r="B4" s="131" t="s">
        <v>233</v>
      </c>
      <c r="C4" s="197">
        <f>'Background information'!B5</f>
        <v>0.57199999999999995</v>
      </c>
    </row>
    <row r="5" spans="1:3" x14ac:dyDescent="0.35">
      <c r="A5" s="198"/>
      <c r="B5" s="199"/>
      <c r="C5" s="200"/>
    </row>
    <row r="6" spans="1:3" x14ac:dyDescent="0.35">
      <c r="A6" s="201"/>
      <c r="B6" s="131"/>
      <c r="C6" s="130"/>
    </row>
    <row r="7" spans="1:3" x14ac:dyDescent="0.35">
      <c r="A7" s="202" t="s">
        <v>943</v>
      </c>
      <c r="B7" s="203"/>
      <c r="C7" s="202"/>
    </row>
    <row r="8" spans="1:3" x14ac:dyDescent="0.35">
      <c r="A8" s="204" t="s">
        <v>944</v>
      </c>
      <c r="B8" s="174" t="s">
        <v>945</v>
      </c>
      <c r="C8" s="205">
        <f>'Mass balances '!D156/'Mass balances '!D6</f>
        <v>0.30142118488889796</v>
      </c>
    </row>
    <row r="9" spans="1:3" x14ac:dyDescent="0.35">
      <c r="A9" s="206" t="s">
        <v>946</v>
      </c>
      <c r="B9" s="131" t="s">
        <v>947</v>
      </c>
      <c r="C9" s="186">
        <f>'Mass balances '!D156/'Mass balances '!D5</f>
        <v>0.118157104476448</v>
      </c>
    </row>
    <row r="10" spans="1:3" x14ac:dyDescent="0.35">
      <c r="A10" s="206" t="s">
        <v>948</v>
      </c>
      <c r="B10" s="131" t="s">
        <v>558</v>
      </c>
      <c r="C10" s="186">
        <f>'Background information'!B33</f>
        <v>31.184999999999999</v>
      </c>
    </row>
    <row r="11" spans="1:3" x14ac:dyDescent="0.35">
      <c r="A11" s="130" t="s">
        <v>949</v>
      </c>
      <c r="B11" s="130" t="s">
        <v>950</v>
      </c>
      <c r="C11" s="207">
        <f>C8*'Energy balance '!E29</f>
        <v>10.322718002911133</v>
      </c>
    </row>
    <row r="12" spans="1:3" x14ac:dyDescent="0.35">
      <c r="A12" s="130"/>
      <c r="B12" s="131" t="s">
        <v>951</v>
      </c>
      <c r="C12" s="208">
        <f>C11/'Background information'!C20</f>
        <v>0.55558223912331184</v>
      </c>
    </row>
    <row r="13" spans="1:3" x14ac:dyDescent="0.35">
      <c r="A13" s="130"/>
      <c r="B13" s="131"/>
      <c r="C13" s="159"/>
    </row>
    <row r="14" spans="1:3" x14ac:dyDescent="0.35">
      <c r="A14" s="166" t="s">
        <v>938</v>
      </c>
      <c r="B14" s="131"/>
      <c r="C14" s="130"/>
    </row>
    <row r="15" spans="1:3" x14ac:dyDescent="0.35">
      <c r="A15" s="130" t="s">
        <v>510</v>
      </c>
      <c r="B15" s="131" t="s">
        <v>945</v>
      </c>
      <c r="C15" s="207">
        <f>('Utilities demand'!C57+'Mass balances '!D173)/('Mass balances '!D6)</f>
        <v>2.361936194526491</v>
      </c>
    </row>
    <row r="16" spans="1:3" x14ac:dyDescent="0.35">
      <c r="A16" s="130" t="s">
        <v>663</v>
      </c>
      <c r="B16" s="131" t="s">
        <v>952</v>
      </c>
      <c r="C16" s="207">
        <f>('Utilities demand'!C53*'Utilities demand'!Q48*3.6)/'Mass balances '!D6</f>
        <v>0</v>
      </c>
    </row>
    <row r="17" spans="1:6" x14ac:dyDescent="0.35">
      <c r="A17" s="130"/>
      <c r="B17" s="131"/>
      <c r="C17" s="130"/>
    </row>
    <row r="18" spans="1:6" x14ac:dyDescent="0.35">
      <c r="A18" s="166" t="s">
        <v>953</v>
      </c>
      <c r="B18" s="131"/>
      <c r="C18" s="130"/>
      <c r="E18" t="s">
        <v>1332</v>
      </c>
    </row>
    <row r="19" spans="1:6" x14ac:dyDescent="0.35">
      <c r="A19" s="130" t="s">
        <v>483</v>
      </c>
      <c r="B19" s="131" t="s">
        <v>952</v>
      </c>
      <c r="C19" s="209">
        <f>'Utilities demand'!C55/'Mass balances '!D6</f>
        <v>1.3255142756962326</v>
      </c>
      <c r="E19" t="s">
        <v>1322</v>
      </c>
    </row>
    <row r="20" spans="1:6" x14ac:dyDescent="0.35">
      <c r="A20" s="130"/>
      <c r="B20" s="131"/>
      <c r="C20" s="130"/>
      <c r="E20" t="s">
        <v>1104</v>
      </c>
    </row>
    <row r="21" spans="1:6" x14ac:dyDescent="0.35">
      <c r="A21" s="166" t="s">
        <v>954</v>
      </c>
      <c r="B21" s="131"/>
      <c r="C21" s="130"/>
    </row>
    <row r="22" spans="1:6" x14ac:dyDescent="0.35">
      <c r="A22" s="130" t="s">
        <v>955</v>
      </c>
      <c r="B22" s="131" t="s">
        <v>945</v>
      </c>
      <c r="C22" s="207">
        <f>'Mass balances '!N194/'Mass balances '!D6</f>
        <v>3.6824622924372399</v>
      </c>
    </row>
    <row r="23" spans="1:6" x14ac:dyDescent="0.35">
      <c r="A23" s="130" t="s">
        <v>956</v>
      </c>
      <c r="B23" s="131" t="s">
        <v>945</v>
      </c>
      <c r="C23" s="207">
        <f>'Mass balances '!D180/'Mass balances '!D6</f>
        <v>1.9157955168739065</v>
      </c>
      <c r="F23">
        <f>'Utilities demand (2)'!C55/'Mass balances '!D6</f>
        <v>1.3119518043492939</v>
      </c>
    </row>
    <row r="24" spans="1:6" x14ac:dyDescent="0.35">
      <c r="A24" s="130" t="s">
        <v>509</v>
      </c>
      <c r="B24" s="131" t="s">
        <v>945</v>
      </c>
      <c r="C24" s="207">
        <f>'Mass balances '!N207/'Mass balances '!D6</f>
        <v>5.8540357663063265E-2</v>
      </c>
    </row>
    <row r="25" spans="1:6" x14ac:dyDescent="0.35">
      <c r="A25" s="130"/>
      <c r="B25" s="131"/>
      <c r="C25" s="207"/>
    </row>
    <row r="26" spans="1:6" x14ac:dyDescent="0.35">
      <c r="A26" s="166" t="s">
        <v>957</v>
      </c>
      <c r="B26" s="131"/>
      <c r="C26" s="207"/>
    </row>
    <row r="27" spans="1:6" x14ac:dyDescent="0.35">
      <c r="A27" s="130" t="s">
        <v>958</v>
      </c>
      <c r="B27" s="131" t="s">
        <v>952</v>
      </c>
      <c r="C27" s="207">
        <f>'Mass balances '!D5/'Mass balances '!D6</f>
        <v>2.5510204081632653</v>
      </c>
    </row>
    <row r="28" spans="1:6" x14ac:dyDescent="0.35">
      <c r="A28" s="130" t="s">
        <v>959</v>
      </c>
      <c r="B28" s="131" t="s">
        <v>945</v>
      </c>
      <c r="C28" s="207">
        <f>'Mass balances '!D27/'Mass balances '!D6</f>
        <v>8.4962040816326532</v>
      </c>
    </row>
    <row r="29" spans="1:6" x14ac:dyDescent="0.35">
      <c r="A29" s="130" t="s">
        <v>960</v>
      </c>
      <c r="B29" s="131" t="s">
        <v>952</v>
      </c>
      <c r="C29" s="207">
        <f>'Mass balances '!D53/'Mass balances '!D6</f>
        <v>8.4962045594566771</v>
      </c>
    </row>
    <row r="30" spans="1:6" x14ac:dyDescent="0.35">
      <c r="A30" s="264" t="s">
        <v>961</v>
      </c>
      <c r="B30" s="131" t="s">
        <v>952</v>
      </c>
      <c r="C30" s="207">
        <f>('Mass balances '!D111*24*4*1)/(1000*'Mass balances '!D6)</f>
        <v>3.0219003061640503E-2</v>
      </c>
    </row>
    <row r="31" spans="1:6" x14ac:dyDescent="0.35">
      <c r="A31" s="130" t="s">
        <v>962</v>
      </c>
      <c r="B31" s="131" t="s">
        <v>945</v>
      </c>
      <c r="C31" s="207">
        <f>'Mass balances '!D140/'Mass balances '!D6</f>
        <v>0.32407666970624077</v>
      </c>
    </row>
    <row r="32" spans="1:6" x14ac:dyDescent="0.35">
      <c r="A32" s="130" t="s">
        <v>963</v>
      </c>
      <c r="B32" s="131" t="s">
        <v>945</v>
      </c>
      <c r="C32" s="207">
        <f>'Mass balances '!D131/'Mass balances '!D6</f>
        <v>6.9938693877551012E-3</v>
      </c>
    </row>
    <row r="33" spans="1:3" x14ac:dyDescent="0.35">
      <c r="A33" s="264" t="s">
        <v>964</v>
      </c>
      <c r="B33" s="131" t="s">
        <v>965</v>
      </c>
      <c r="C33" s="207">
        <f>'Utilities demand'!C41/'Mass balances '!D6</f>
        <v>1.6852304110884671</v>
      </c>
    </row>
    <row r="34" spans="1:3" x14ac:dyDescent="0.35">
      <c r="A34" s="130"/>
      <c r="B34" s="131"/>
      <c r="C34" s="210"/>
    </row>
    <row r="35" spans="1:3" x14ac:dyDescent="0.35">
      <c r="A35" s="166" t="s">
        <v>966</v>
      </c>
      <c r="B35" s="131"/>
      <c r="C35" s="207"/>
    </row>
    <row r="36" spans="1:3" x14ac:dyDescent="0.35">
      <c r="A36" s="264" t="s">
        <v>663</v>
      </c>
      <c r="B36" s="131" t="s">
        <v>950</v>
      </c>
      <c r="C36" s="207">
        <v>0</v>
      </c>
    </row>
    <row r="37" spans="1:3" x14ac:dyDescent="0.35">
      <c r="A37" s="130" t="s">
        <v>967</v>
      </c>
      <c r="B37" s="131" t="s">
        <v>951</v>
      </c>
      <c r="C37" s="207">
        <v>0</v>
      </c>
    </row>
    <row r="38" spans="1:3" x14ac:dyDescent="0.35">
      <c r="A38" s="130" t="s">
        <v>968</v>
      </c>
      <c r="B38" s="131" t="s">
        <v>951</v>
      </c>
      <c r="C38" s="207">
        <v>0</v>
      </c>
    </row>
    <row r="39" spans="1:3" x14ac:dyDescent="0.35">
      <c r="A39" s="166"/>
      <c r="B39" s="131"/>
      <c r="C39" s="207"/>
    </row>
    <row r="40" spans="1:3" x14ac:dyDescent="0.35">
      <c r="A40" s="309" t="s">
        <v>969</v>
      </c>
      <c r="B40" s="131" t="s">
        <v>970</v>
      </c>
      <c r="C40" s="207">
        <f>('Utilities demand'!C45+'Utilities demand'!C50)/('yields '!C3*'yields '!C11)</f>
        <v>0.15681166615309594</v>
      </c>
    </row>
    <row r="41" spans="1:3" x14ac:dyDescent="0.35">
      <c r="A41" s="166"/>
      <c r="B41" s="131"/>
      <c r="C41" s="207"/>
    </row>
    <row r="42" spans="1:3" x14ac:dyDescent="0.35">
      <c r="A42" s="166" t="s">
        <v>971</v>
      </c>
      <c r="B42" s="131"/>
      <c r="C42" s="207"/>
    </row>
    <row r="43" spans="1:3" x14ac:dyDescent="0.35">
      <c r="A43" s="264" t="s">
        <v>116</v>
      </c>
      <c r="B43" s="130" t="s">
        <v>945</v>
      </c>
      <c r="C43" s="207">
        <f>'Mass balances '!N202/'Mass balances '!D6</f>
        <v>0</v>
      </c>
    </row>
    <row r="44" spans="1:3" x14ac:dyDescent="0.35">
      <c r="A44" s="130"/>
      <c r="B44" s="130"/>
      <c r="C44" s="155"/>
    </row>
    <row r="45" spans="1:3" x14ac:dyDescent="0.35">
      <c r="A45" s="166"/>
      <c r="B45" s="131"/>
      <c r="C45" s="207"/>
    </row>
    <row r="46" spans="1:3" x14ac:dyDescent="0.35">
      <c r="A46" s="130"/>
      <c r="B46" s="131"/>
      <c r="C46" s="207"/>
    </row>
    <row r="47" spans="1:3" x14ac:dyDescent="0.35">
      <c r="A47" s="130"/>
      <c r="B47" s="131"/>
      <c r="C47" s="207"/>
    </row>
    <row r="48" spans="1:3" x14ac:dyDescent="0.35">
      <c r="A48" s="130"/>
      <c r="B48" s="131"/>
      <c r="C48" s="207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84"/>
  <sheetViews>
    <sheetView topLeftCell="A68" workbookViewId="0">
      <selection activeCell="C3" sqref="C3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328" t="s">
        <v>880</v>
      </c>
      <c r="B1" s="328"/>
      <c r="C1" s="328"/>
    </row>
    <row r="2" spans="1:5" x14ac:dyDescent="0.35">
      <c r="A2" s="156" t="s">
        <v>881</v>
      </c>
      <c r="B2" s="157"/>
      <c r="C2" s="158"/>
    </row>
    <row r="3" spans="1:5" x14ac:dyDescent="0.35">
      <c r="A3" s="159" t="s">
        <v>882</v>
      </c>
      <c r="B3" s="129" t="s">
        <v>883</v>
      </c>
      <c r="C3" s="326">
        <v>1.5</v>
      </c>
    </row>
    <row r="4" spans="1:5" x14ac:dyDescent="0.35">
      <c r="A4" s="128" t="s">
        <v>884</v>
      </c>
      <c r="B4" s="129" t="s">
        <v>885</v>
      </c>
      <c r="C4" s="128">
        <v>0.34</v>
      </c>
    </row>
    <row r="5" spans="1:5" x14ac:dyDescent="0.35">
      <c r="A5" s="128" t="s">
        <v>886</v>
      </c>
      <c r="B5" s="129" t="s">
        <v>883</v>
      </c>
      <c r="C5" s="128">
        <v>0.23</v>
      </c>
    </row>
    <row r="6" spans="1:5" x14ac:dyDescent="0.35">
      <c r="A6" s="128" t="s">
        <v>887</v>
      </c>
      <c r="B6" s="129" t="s">
        <v>883</v>
      </c>
      <c r="C6" s="128">
        <v>0.5</v>
      </c>
    </row>
    <row r="7" spans="1:5" x14ac:dyDescent="0.35">
      <c r="A7" s="128" t="s">
        <v>888</v>
      </c>
      <c r="B7" s="129" t="s">
        <v>889</v>
      </c>
      <c r="C7" s="128">
        <v>0.2</v>
      </c>
    </row>
    <row r="8" spans="1:5" x14ac:dyDescent="0.35">
      <c r="A8" s="128" t="s">
        <v>890</v>
      </c>
      <c r="B8" s="129" t="s">
        <v>891</v>
      </c>
      <c r="C8" s="128">
        <v>0.1</v>
      </c>
    </row>
    <row r="9" spans="1:5" x14ac:dyDescent="0.35">
      <c r="A9" s="128" t="s">
        <v>892</v>
      </c>
      <c r="B9" s="160" t="s">
        <v>893</v>
      </c>
      <c r="C9" s="128">
        <v>0.9</v>
      </c>
      <c r="D9">
        <v>1.2</v>
      </c>
      <c r="E9">
        <v>1</v>
      </c>
    </row>
    <row r="10" spans="1:5" x14ac:dyDescent="0.35">
      <c r="A10" s="128"/>
      <c r="B10" s="161"/>
      <c r="C10" s="128"/>
    </row>
    <row r="11" spans="1:5" x14ac:dyDescent="0.35">
      <c r="A11" s="156" t="s">
        <v>894</v>
      </c>
      <c r="B11" s="157"/>
      <c r="C11" s="158"/>
    </row>
    <row r="12" spans="1:5" x14ac:dyDescent="0.35">
      <c r="A12" s="327" t="s">
        <v>1232</v>
      </c>
      <c r="B12" s="161"/>
      <c r="C12" s="162"/>
    </row>
    <row r="13" spans="1:5" x14ac:dyDescent="0.35">
      <c r="A13" s="128" t="s">
        <v>896</v>
      </c>
      <c r="B13" s="161" t="s">
        <v>895</v>
      </c>
      <c r="C13" s="311">
        <v>0.75</v>
      </c>
    </row>
    <row r="14" spans="1:5" x14ac:dyDescent="0.35">
      <c r="A14" s="128" t="s">
        <v>897</v>
      </c>
      <c r="B14" s="161" t="s">
        <v>895</v>
      </c>
      <c r="C14" s="310">
        <v>0.75</v>
      </c>
    </row>
    <row r="15" spans="1:5" x14ac:dyDescent="0.35">
      <c r="A15" s="128" t="s">
        <v>898</v>
      </c>
      <c r="B15" s="161" t="s">
        <v>895</v>
      </c>
      <c r="C15" s="310">
        <v>0.65</v>
      </c>
    </row>
    <row r="16" spans="1:5" x14ac:dyDescent="0.35">
      <c r="A16" s="128" t="s">
        <v>899</v>
      </c>
      <c r="B16" s="161" t="s">
        <v>895</v>
      </c>
      <c r="C16" s="310">
        <v>0.7</v>
      </c>
    </row>
    <row r="17" spans="1:3" x14ac:dyDescent="0.35">
      <c r="A17" s="128" t="s">
        <v>900</v>
      </c>
      <c r="B17" s="161" t="s">
        <v>895</v>
      </c>
      <c r="C17" s="310">
        <v>0.7</v>
      </c>
    </row>
    <row r="20" spans="1:3" x14ac:dyDescent="0.35">
      <c r="A20" s="329" t="s">
        <v>901</v>
      </c>
      <c r="B20" s="329"/>
      <c r="C20" s="329"/>
    </row>
    <row r="21" spans="1:3" x14ac:dyDescent="0.35">
      <c r="A21" s="130" t="s">
        <v>902</v>
      </c>
      <c r="B21" s="131" t="s">
        <v>233</v>
      </c>
      <c r="C21" s="154">
        <f>SUM(C22:C24)</f>
        <v>0.125</v>
      </c>
    </row>
    <row r="22" spans="1:3" x14ac:dyDescent="0.35">
      <c r="A22" s="163" t="s">
        <v>903</v>
      </c>
      <c r="B22" s="164" t="s">
        <v>233</v>
      </c>
      <c r="C22" s="165">
        <v>3.4000000000000002E-2</v>
      </c>
    </row>
    <row r="23" spans="1:3" x14ac:dyDescent="0.35">
      <c r="A23" s="163" t="s">
        <v>904</v>
      </c>
      <c r="B23" s="164" t="s">
        <v>233</v>
      </c>
      <c r="C23" s="165">
        <v>2.5999999999999999E-2</v>
      </c>
    </row>
    <row r="24" spans="1:3" x14ac:dyDescent="0.35">
      <c r="A24" s="163" t="s">
        <v>905</v>
      </c>
      <c r="B24" s="164" t="s">
        <v>233</v>
      </c>
      <c r="C24" s="165">
        <v>6.5000000000000002E-2</v>
      </c>
    </row>
    <row r="25" spans="1:3" x14ac:dyDescent="0.35">
      <c r="A25" s="166"/>
      <c r="B25" s="131"/>
      <c r="C25" s="130"/>
    </row>
    <row r="26" spans="1:3" x14ac:dyDescent="0.35">
      <c r="A26" s="330" t="s">
        <v>906</v>
      </c>
      <c r="B26" s="331"/>
      <c r="C26" s="331"/>
    </row>
    <row r="27" spans="1:3" x14ac:dyDescent="0.35">
      <c r="A27" s="128" t="s">
        <v>907</v>
      </c>
      <c r="B27" s="129" t="s">
        <v>538</v>
      </c>
      <c r="C27" s="128">
        <v>6</v>
      </c>
    </row>
    <row r="28" spans="1:3" x14ac:dyDescent="0.35">
      <c r="A28" s="128" t="s">
        <v>908</v>
      </c>
      <c r="B28" s="129" t="s">
        <v>538</v>
      </c>
      <c r="C28" s="128">
        <v>3</v>
      </c>
    </row>
    <row r="29" spans="1:3" x14ac:dyDescent="0.35">
      <c r="A29" s="128" t="s">
        <v>909</v>
      </c>
      <c r="B29" s="129" t="s">
        <v>538</v>
      </c>
      <c r="C29" s="128">
        <v>8</v>
      </c>
    </row>
    <row r="30" spans="1:3" x14ac:dyDescent="0.35">
      <c r="A30" s="128" t="s">
        <v>910</v>
      </c>
      <c r="B30" s="129"/>
      <c r="C30" s="167">
        <v>0.5</v>
      </c>
    </row>
    <row r="31" spans="1:3" x14ac:dyDescent="0.35">
      <c r="A31" s="330" t="s">
        <v>911</v>
      </c>
      <c r="B31" s="331"/>
      <c r="C31" s="331"/>
    </row>
    <row r="32" spans="1:3" x14ac:dyDescent="0.35">
      <c r="A32" s="128" t="s">
        <v>871</v>
      </c>
      <c r="B32" s="129" t="s">
        <v>912</v>
      </c>
      <c r="C32" s="128">
        <v>0.1</v>
      </c>
    </row>
    <row r="33" spans="1:4" x14ac:dyDescent="0.35">
      <c r="A33" s="128" t="s">
        <v>872</v>
      </c>
      <c r="B33" s="129" t="s">
        <v>913</v>
      </c>
      <c r="C33" s="128">
        <v>0.7</v>
      </c>
    </row>
    <row r="34" spans="1:4" x14ac:dyDescent="0.35">
      <c r="A34" s="128" t="s">
        <v>877</v>
      </c>
      <c r="B34" s="129" t="s">
        <v>914</v>
      </c>
      <c r="C34" s="155">
        <f>C21/(1-POWER((1+C21),-'Process variables '!F2))</f>
        <v>0.13809573295592931</v>
      </c>
    </row>
    <row r="35" spans="1:4" x14ac:dyDescent="0.35">
      <c r="A35" s="128" t="s">
        <v>875</v>
      </c>
      <c r="B35" s="129" t="s">
        <v>912</v>
      </c>
      <c r="C35" s="128">
        <v>1.4999999999999999E-2</v>
      </c>
    </row>
    <row r="36" spans="1:4" x14ac:dyDescent="0.35">
      <c r="A36" s="128" t="s">
        <v>915</v>
      </c>
      <c r="B36" s="129" t="s">
        <v>916</v>
      </c>
      <c r="C36" s="128">
        <v>0.25</v>
      </c>
    </row>
    <row r="37" spans="1:4" x14ac:dyDescent="0.35">
      <c r="A37" s="128" t="s">
        <v>876</v>
      </c>
      <c r="B37" s="129" t="s">
        <v>912</v>
      </c>
      <c r="C37" s="128">
        <v>0.01</v>
      </c>
    </row>
    <row r="38" spans="1:4" x14ac:dyDescent="0.35">
      <c r="A38" s="128" t="s">
        <v>917</v>
      </c>
      <c r="B38" s="129" t="s">
        <v>918</v>
      </c>
      <c r="C38" s="128">
        <v>0.1</v>
      </c>
    </row>
    <row r="39" spans="1:4" x14ac:dyDescent="0.35">
      <c r="A39" s="128" t="s">
        <v>887</v>
      </c>
      <c r="B39" s="129" t="s">
        <v>919</v>
      </c>
      <c r="C39" s="128">
        <v>0.2</v>
      </c>
    </row>
    <row r="43" spans="1:4" x14ac:dyDescent="0.35">
      <c r="A43" s="332" t="s">
        <v>975</v>
      </c>
      <c r="B43" s="332"/>
      <c r="C43" s="332"/>
      <c r="D43" s="332"/>
    </row>
    <row r="44" spans="1:4" x14ac:dyDescent="0.35">
      <c r="A44" s="333" t="s">
        <v>976</v>
      </c>
      <c r="B44" s="334" t="s">
        <v>1225</v>
      </c>
      <c r="C44" s="335"/>
      <c r="D44" s="335"/>
    </row>
    <row r="45" spans="1:4" x14ac:dyDescent="0.35">
      <c r="A45" s="130" t="s">
        <v>0</v>
      </c>
      <c r="B45" s="131" t="s">
        <v>977</v>
      </c>
      <c r="C45" s="130">
        <f>20</f>
        <v>20</v>
      </c>
      <c r="D45" s="130"/>
    </row>
    <row r="46" spans="1:4" x14ac:dyDescent="0.35">
      <c r="A46" s="310" t="s">
        <v>1219</v>
      </c>
      <c r="B46" s="311"/>
      <c r="C46" s="312">
        <f>C59+(C60*30)</f>
        <v>20.100000000000001</v>
      </c>
      <c r="D46" s="310"/>
    </row>
    <row r="47" spans="1:4" x14ac:dyDescent="0.35">
      <c r="A47" s="333" t="s">
        <v>978</v>
      </c>
      <c r="B47" s="334" t="s">
        <v>1225</v>
      </c>
      <c r="C47" s="335"/>
      <c r="D47" s="335"/>
    </row>
    <row r="48" spans="1:4" x14ac:dyDescent="0.35">
      <c r="A48" s="310" t="s">
        <v>0</v>
      </c>
      <c r="B48" s="131" t="s">
        <v>977</v>
      </c>
      <c r="C48" s="167">
        <f>C46+C45</f>
        <v>40.1</v>
      </c>
      <c r="D48" s="130"/>
    </row>
    <row r="49" spans="1:12" x14ac:dyDescent="0.35">
      <c r="A49" s="333" t="s">
        <v>979</v>
      </c>
      <c r="B49" s="334"/>
      <c r="C49" s="335"/>
      <c r="D49" s="335"/>
    </row>
    <row r="50" spans="1:12" x14ac:dyDescent="0.35">
      <c r="A50" s="130" t="s">
        <v>1249</v>
      </c>
      <c r="B50" s="131" t="s">
        <v>1226</v>
      </c>
      <c r="C50" s="217">
        <v>890</v>
      </c>
      <c r="D50" s="217"/>
    </row>
    <row r="51" spans="1:12" x14ac:dyDescent="0.35">
      <c r="A51" s="171" t="s">
        <v>981</v>
      </c>
      <c r="B51" s="218" t="s">
        <v>982</v>
      </c>
      <c r="C51" s="219">
        <f>C50/G52</f>
        <v>21.39423076923077</v>
      </c>
      <c r="D51" s="219"/>
      <c r="F51" t="s">
        <v>1221</v>
      </c>
      <c r="G51" t="s">
        <v>1223</v>
      </c>
    </row>
    <row r="52" spans="1:12" x14ac:dyDescent="0.35">
      <c r="A52" s="128" t="s">
        <v>983</v>
      </c>
      <c r="B52" s="129" t="s">
        <v>1227</v>
      </c>
      <c r="C52" s="220">
        <v>103</v>
      </c>
      <c r="D52" s="220"/>
      <c r="F52" t="s">
        <v>1222</v>
      </c>
      <c r="G52">
        <v>41.6</v>
      </c>
      <c r="J52" t="s">
        <v>1228</v>
      </c>
      <c r="K52">
        <v>3.6</v>
      </c>
      <c r="L52" t="s">
        <v>1224</v>
      </c>
    </row>
    <row r="53" spans="1:12" x14ac:dyDescent="0.35">
      <c r="A53" s="171" t="s">
        <v>984</v>
      </c>
      <c r="B53" s="218" t="s">
        <v>982</v>
      </c>
      <c r="C53" s="219">
        <f>C52/K52</f>
        <v>28.611111111111111</v>
      </c>
      <c r="D53" s="219"/>
      <c r="F53" t="s">
        <v>1231</v>
      </c>
      <c r="G53">
        <v>50</v>
      </c>
      <c r="H53" t="s">
        <v>558</v>
      </c>
      <c r="J53" t="s">
        <v>1136</v>
      </c>
      <c r="K53">
        <v>3.6</v>
      </c>
      <c r="L53" t="s">
        <v>1137</v>
      </c>
    </row>
    <row r="54" spans="1:12" x14ac:dyDescent="0.35">
      <c r="A54" s="159" t="s">
        <v>1220</v>
      </c>
      <c r="B54" s="161" t="s">
        <v>1226</v>
      </c>
      <c r="C54" s="159">
        <v>640</v>
      </c>
      <c r="D54" s="159"/>
    </row>
    <row r="55" spans="1:12" x14ac:dyDescent="0.35">
      <c r="A55" s="333" t="s">
        <v>985</v>
      </c>
      <c r="B55" s="336"/>
      <c r="C55" s="337"/>
      <c r="D55" s="337"/>
    </row>
    <row r="56" spans="1:12" x14ac:dyDescent="0.35">
      <c r="A56" s="183" t="s">
        <v>986</v>
      </c>
      <c r="B56" s="338" t="s">
        <v>1234</v>
      </c>
      <c r="C56" s="221">
        <f>88/H56</f>
        <v>82.922646363182352</v>
      </c>
      <c r="D56" s="221"/>
      <c r="G56" t="s">
        <v>1233</v>
      </c>
      <c r="H56" s="339">
        <v>1.0612299999999999</v>
      </c>
    </row>
    <row r="58" spans="1:12" x14ac:dyDescent="0.35">
      <c r="A58" s="333" t="s">
        <v>987</v>
      </c>
      <c r="B58" s="336"/>
      <c r="C58" s="337"/>
      <c r="D58" s="337"/>
    </row>
    <row r="59" spans="1:12" x14ac:dyDescent="0.35">
      <c r="A59" s="130" t="s">
        <v>988</v>
      </c>
      <c r="B59" s="131" t="s">
        <v>980</v>
      </c>
      <c r="C59" s="222">
        <v>12</v>
      </c>
      <c r="D59" s="223"/>
    </row>
    <row r="60" spans="1:12" x14ac:dyDescent="0.35">
      <c r="A60" s="130" t="s">
        <v>989</v>
      </c>
      <c r="B60" s="131" t="s">
        <v>990</v>
      </c>
      <c r="C60" s="222">
        <v>0.27</v>
      </c>
      <c r="D60" s="222"/>
    </row>
    <row r="62" spans="1:12" x14ac:dyDescent="0.35">
      <c r="A62" s="156"/>
      <c r="B62" s="157"/>
      <c r="C62" s="158"/>
      <c r="D62" s="158"/>
    </row>
    <row r="63" spans="1:12" x14ac:dyDescent="0.35">
      <c r="A63" s="214" t="s">
        <v>991</v>
      </c>
      <c r="B63" s="215" t="s">
        <v>1242</v>
      </c>
      <c r="C63" s="216"/>
      <c r="D63" s="216"/>
    </row>
    <row r="64" spans="1:12" x14ac:dyDescent="0.35">
      <c r="A64" s="128" t="s">
        <v>992</v>
      </c>
      <c r="B64" s="129" t="s">
        <v>980</v>
      </c>
      <c r="C64" s="155">
        <v>6</v>
      </c>
      <c r="D64" s="155"/>
    </row>
    <row r="65" spans="1:11" x14ac:dyDescent="0.35">
      <c r="A65" s="128" t="s">
        <v>993</v>
      </c>
      <c r="B65" s="129" t="s">
        <v>980</v>
      </c>
      <c r="C65" s="155">
        <v>0.6</v>
      </c>
      <c r="D65" s="155"/>
    </row>
    <row r="66" spans="1:11" x14ac:dyDescent="0.35">
      <c r="A66" s="130" t="s">
        <v>994</v>
      </c>
      <c r="B66" s="131" t="s">
        <v>980</v>
      </c>
      <c r="C66" s="140">
        <v>135</v>
      </c>
      <c r="D66" s="144"/>
    </row>
    <row r="67" spans="1:11" x14ac:dyDescent="0.35">
      <c r="A67" s="130" t="s">
        <v>510</v>
      </c>
      <c r="B67" s="131" t="s">
        <v>980</v>
      </c>
      <c r="C67" s="130">
        <v>0.08</v>
      </c>
      <c r="D67" s="128"/>
    </row>
    <row r="68" spans="1:11" x14ac:dyDescent="0.35">
      <c r="A68" s="130" t="s">
        <v>663</v>
      </c>
      <c r="B68" s="131" t="s">
        <v>980</v>
      </c>
      <c r="C68" s="140">
        <f>J68*1000</f>
        <v>1388.8888888888891</v>
      </c>
      <c r="D68" s="144"/>
      <c r="F68">
        <v>0.1</v>
      </c>
      <c r="G68" t="s">
        <v>1229</v>
      </c>
      <c r="H68">
        <f>F68/K53</f>
        <v>2.777777777777778E-2</v>
      </c>
      <c r="I68" t="s">
        <v>1230</v>
      </c>
      <c r="J68">
        <f>H68*G53</f>
        <v>1.3888888888888891</v>
      </c>
      <c r="K68" t="s">
        <v>1216</v>
      </c>
    </row>
    <row r="69" spans="1:11" x14ac:dyDescent="0.35">
      <c r="A69" s="224" t="s">
        <v>995</v>
      </c>
      <c r="B69" s="225" t="s">
        <v>982</v>
      </c>
      <c r="C69" s="224">
        <f>C68/'Utilities demand'!Q48</f>
        <v>27.777777777777782</v>
      </c>
      <c r="D69" s="224"/>
    </row>
    <row r="70" spans="1:11" x14ac:dyDescent="0.35">
      <c r="A70" s="130" t="s">
        <v>996</v>
      </c>
      <c r="B70" s="131" t="s">
        <v>997</v>
      </c>
      <c r="C70" s="140">
        <v>12</v>
      </c>
      <c r="D70" s="140"/>
    </row>
    <row r="71" spans="1:11" x14ac:dyDescent="0.35">
      <c r="A71" s="132" t="s">
        <v>998</v>
      </c>
      <c r="B71" s="133" t="s">
        <v>980</v>
      </c>
      <c r="C71" s="132">
        <f>Sheet4!B42*1000/'Expenses variable '!H56</f>
        <v>91657.793315303948</v>
      </c>
      <c r="D71" s="132"/>
      <c r="G71" t="s">
        <v>1243</v>
      </c>
      <c r="H71" s="342" t="s">
        <v>1244</v>
      </c>
    </row>
    <row r="72" spans="1:11" x14ac:dyDescent="0.35">
      <c r="A72" s="130"/>
      <c r="B72" s="131"/>
      <c r="C72" s="159"/>
      <c r="D72" s="159"/>
    </row>
    <row r="73" spans="1:11" x14ac:dyDescent="0.35">
      <c r="A73" s="227" t="s">
        <v>999</v>
      </c>
      <c r="B73" s="228" t="s">
        <v>1000</v>
      </c>
      <c r="C73" s="229" t="s">
        <v>1001</v>
      </c>
      <c r="D73" s="229"/>
    </row>
    <row r="74" spans="1:11" x14ac:dyDescent="0.35">
      <c r="A74" s="202" t="s">
        <v>896</v>
      </c>
      <c r="B74" s="230" t="s">
        <v>1002</v>
      </c>
      <c r="C74" s="231" t="s">
        <v>1241</v>
      </c>
      <c r="D74" s="231"/>
    </row>
    <row r="75" spans="1:11" x14ac:dyDescent="0.35">
      <c r="A75" s="128" t="s">
        <v>1003</v>
      </c>
      <c r="B75" s="144">
        <f>46.3*60*60*24/1000</f>
        <v>4000.32</v>
      </c>
      <c r="C75" s="167">
        <f>Sheet4!E96*9.3/H56</f>
        <v>12.558719104788516</v>
      </c>
      <c r="D75" s="167"/>
    </row>
    <row r="76" spans="1:11" x14ac:dyDescent="0.35">
      <c r="A76" s="128" t="s">
        <v>1004</v>
      </c>
      <c r="B76" s="144">
        <f>281.6*60*60*24/1000</f>
        <v>24330.240000000002</v>
      </c>
      <c r="C76" s="167">
        <v>124.7</v>
      </c>
      <c r="D76" s="167"/>
    </row>
    <row r="77" spans="1:11" ht="16.5" x14ac:dyDescent="0.55000000000000004">
      <c r="A77" s="128" t="s">
        <v>1005</v>
      </c>
      <c r="B77" s="144">
        <v>734.4</v>
      </c>
      <c r="C77" s="232">
        <v>23.6</v>
      </c>
      <c r="D77" s="232"/>
    </row>
    <row r="78" spans="1:11" x14ac:dyDescent="0.35">
      <c r="A78" s="202"/>
      <c r="B78" s="203"/>
      <c r="C78" s="202"/>
      <c r="D78" s="202"/>
    </row>
    <row r="79" spans="1:11" x14ac:dyDescent="0.35">
      <c r="A79" s="130"/>
      <c r="B79" s="131"/>
      <c r="C79" s="130"/>
      <c r="D79" s="130"/>
    </row>
    <row r="80" spans="1:11" x14ac:dyDescent="0.35">
      <c r="A80" s="130"/>
      <c r="B80" s="131"/>
      <c r="C80" s="130"/>
      <c r="D80" s="130"/>
    </row>
    <row r="81" spans="1:4" x14ac:dyDescent="0.35">
      <c r="A81" s="130" t="s">
        <v>1006</v>
      </c>
      <c r="B81" s="131">
        <v>50</v>
      </c>
      <c r="C81" s="130">
        <f>15.9*1.433/H56</f>
        <v>21.470086597627283</v>
      </c>
      <c r="D81" s="130"/>
    </row>
    <row r="82" spans="1:4" x14ac:dyDescent="0.35">
      <c r="A82" s="130" t="s">
        <v>1007</v>
      </c>
      <c r="B82" s="131">
        <v>500</v>
      </c>
      <c r="C82" s="130">
        <f>29.17641*Sheet4!E99/H56</f>
        <v>36.796075939386043</v>
      </c>
      <c r="D82" s="130"/>
    </row>
    <row r="83" spans="1:4" x14ac:dyDescent="0.35">
      <c r="A83" s="130"/>
      <c r="B83" s="131"/>
      <c r="C83" s="130"/>
      <c r="D83" s="130"/>
    </row>
    <row r="84" spans="1:4" x14ac:dyDescent="0.35">
      <c r="A84" s="233"/>
      <c r="B84" s="233"/>
      <c r="C84" s="233"/>
      <c r="D84" s="233"/>
    </row>
  </sheetData>
  <hyperlinks>
    <hyperlink ref="H71" r:id="rId1" xr:uid="{C09C94C2-24FD-4671-8329-59CDE2A74BA4}"/>
  </hyperlinks>
  <pageMargins left="0.7" right="0.7" top="0.75" bottom="0.75" header="0.3" footer="0.3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CFAAD-F08C-4C86-A4D2-3AD916DA005F}">
  <dimension ref="A1:G58"/>
  <sheetViews>
    <sheetView topLeftCell="A42" workbookViewId="0">
      <selection activeCell="C47" sqref="C47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181.39039292062179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111.14607409351825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44.458429637407299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'!C31*Refinery!B1/734)^0.75)*0</f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</row>
    <row r="9" spans="1:7" x14ac:dyDescent="0.35">
      <c r="A9" s="179" t="s">
        <v>927</v>
      </c>
      <c r="B9" s="168" t="s">
        <v>750</v>
      </c>
      <c r="C9" s="175">
        <f>C4*'Expenses variable '!C3</f>
        <v>66.687644456110945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37.78966519179621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10.225438816603679</v>
      </c>
    </row>
    <row r="12" spans="1:7" x14ac:dyDescent="0.35">
      <c r="A12" s="170" t="s">
        <v>873</v>
      </c>
      <c r="B12" s="168" t="s">
        <v>750</v>
      </c>
      <c r="C12" s="172">
        <f>C4*'Expenses variable '!C6</f>
        <v>22.22921481870365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8.146491178908823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18.139039292062179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207.67592339159279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186.90833105243351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42.433148857350346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25.244013494494382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11.448598130841122</v>
      </c>
      <c r="F20" s="128"/>
    </row>
    <row r="21" spans="1:6" x14ac:dyDescent="0.35">
      <c r="A21" s="176" t="s">
        <v>1215</v>
      </c>
      <c r="B21" s="177" t="s">
        <v>1245</v>
      </c>
      <c r="C21" s="178">
        <f>E13*'yields '!C32*Refinery!C4/1000000*0</f>
        <v>0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'!G139/1000)*'Expenses variable '!C71/1000000*0</f>
        <v>0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'!C9*expenses_full_HTL!C2</f>
        <v>16.325135362855963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6" x14ac:dyDescent="0.35">
      <c r="A33" s="166" t="s">
        <v>873</v>
      </c>
      <c r="B33" s="188" t="s">
        <v>1245</v>
      </c>
      <c r="C33" s="169">
        <f>'Expenses variable '!C39*C18</f>
        <v>8.4866297714700689</v>
      </c>
    </row>
    <row r="34" spans="1:6" x14ac:dyDescent="0.35">
      <c r="A34" s="166" t="s">
        <v>874</v>
      </c>
      <c r="B34" s="188" t="s">
        <v>1245</v>
      </c>
      <c r="C34" s="169">
        <f t="shared" ref="C34" si="1">SUM(C35:C37)</f>
        <v>29.892526812969276</v>
      </c>
    </row>
    <row r="35" spans="1:6" x14ac:dyDescent="0.35">
      <c r="A35" s="170" t="s">
        <v>875</v>
      </c>
      <c r="B35" s="171" t="s">
        <v>1245</v>
      </c>
      <c r="C35" s="172">
        <f>C2*'Expenses variable '!C35*'Expenses variable '!C9</f>
        <v>2.4487703044283942</v>
      </c>
      <c r="E35" t="s">
        <v>1400</v>
      </c>
      <c r="F35" s="312">
        <f>C18+C37</f>
        <v>68.244391829605632</v>
      </c>
    </row>
    <row r="36" spans="1:6" x14ac:dyDescent="0.35">
      <c r="A36" s="170" t="s">
        <v>876</v>
      </c>
      <c r="B36" s="171" t="s">
        <v>1245</v>
      </c>
      <c r="C36" s="172">
        <f>'Expenses variable '!C37*C2*'Expenses variable '!C9</f>
        <v>1.6325135362855963</v>
      </c>
      <c r="F36">
        <f>F35*1000000/('Mass balances '!C187*1000)</f>
        <v>1106.1193680486749</v>
      </c>
    </row>
    <row r="37" spans="1:6" x14ac:dyDescent="0.35">
      <c r="A37" s="170" t="s">
        <v>877</v>
      </c>
      <c r="B37" s="171" t="s">
        <v>1245</v>
      </c>
      <c r="C37" s="172">
        <f>'Expenses variable '!C34*C16</f>
        <v>25.811242972255286</v>
      </c>
    </row>
    <row r="38" spans="1:6" x14ac:dyDescent="0.35">
      <c r="A38" s="166" t="s">
        <v>878</v>
      </c>
      <c r="B38" s="188" t="s">
        <v>1245</v>
      </c>
      <c r="C38" s="169">
        <f>C41*'Expenses variable '!C38</f>
        <v>4.0732455894544115</v>
      </c>
    </row>
    <row r="39" spans="1:6" x14ac:dyDescent="0.35">
      <c r="A39" s="182" t="s">
        <v>879</v>
      </c>
      <c r="B39" s="189" t="s">
        <v>1246</v>
      </c>
      <c r="C39" s="184">
        <f>SUM(C38+C34+C32+C18+C33)</f>
        <v>85.490351031244103</v>
      </c>
    </row>
    <row r="40" spans="1:6" x14ac:dyDescent="0.35">
      <c r="A40" s="182"/>
      <c r="B40" s="183"/>
      <c r="C40" s="168"/>
      <c r="E40">
        <f>(C39*1000000)/('Mass balances '!C187*1000)</f>
        <v>1385.6454797493877</v>
      </c>
    </row>
    <row r="41" spans="1:6" x14ac:dyDescent="0.35">
      <c r="A41" s="188" t="s">
        <v>932</v>
      </c>
      <c r="B41" s="188" t="s">
        <v>1245</v>
      </c>
      <c r="C41" s="169">
        <f t="shared" ref="C41" si="2">SUM(C42:C44)</f>
        <v>40.73245589454411</v>
      </c>
    </row>
    <row r="42" spans="1:6" x14ac:dyDescent="0.35">
      <c r="A42" s="190" t="s">
        <v>933</v>
      </c>
      <c r="B42" s="177" t="s">
        <v>1245</v>
      </c>
      <c r="C42" s="178">
        <f>(8000/24)*'yields '!C31*Refinery!B1*'Expenses variable '!C54/1000000</f>
        <v>40.652177447950841</v>
      </c>
    </row>
    <row r="43" spans="1:6" x14ac:dyDescent="0.35">
      <c r="A43" s="212" t="s">
        <v>974</v>
      </c>
      <c r="B43" s="213" t="s">
        <v>1247</v>
      </c>
      <c r="C43" s="178">
        <v>0</v>
      </c>
    </row>
    <row r="44" spans="1:6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</row>
    <row r="45" spans="1:6" x14ac:dyDescent="0.35">
      <c r="A45" s="188" t="s">
        <v>935</v>
      </c>
      <c r="B45" s="188" t="s">
        <v>1245</v>
      </c>
      <c r="C45" s="169">
        <f>C41-C19</f>
        <v>15.488442400049728</v>
      </c>
    </row>
    <row r="46" spans="1:6" x14ac:dyDescent="0.35">
      <c r="A46" s="188" t="s">
        <v>936</v>
      </c>
      <c r="B46" s="188" t="s">
        <v>1245</v>
      </c>
      <c r="C46" s="169">
        <f t="shared" ref="C46" si="3">C41-C39</f>
        <v>-44.757895136699993</v>
      </c>
    </row>
    <row r="47" spans="1:6" x14ac:dyDescent="0.35">
      <c r="A47" s="191" t="s">
        <v>937</v>
      </c>
      <c r="B47" s="191" t="s">
        <v>1251</v>
      </c>
      <c r="C47" s="169">
        <f>(C39-C44)*1000000/((8000/24)*'yields '!C31*Refinery!B1)</f>
        <v>1344.6376033402832</v>
      </c>
    </row>
    <row r="48" spans="1:6" x14ac:dyDescent="0.35">
      <c r="A48" s="188" t="s">
        <v>1252</v>
      </c>
      <c r="C48">
        <f>C47/'Expenses variable '!C54</f>
        <v>2.1009962552191928</v>
      </c>
    </row>
    <row r="55" spans="1:5" x14ac:dyDescent="0.35">
      <c r="A55" t="s">
        <v>1348</v>
      </c>
      <c r="B55">
        <f>'Mass balances '!C187</f>
        <v>61.69713125084936</v>
      </c>
      <c r="D55" t="s">
        <v>1346</v>
      </c>
      <c r="E55">
        <v>12</v>
      </c>
    </row>
    <row r="56" spans="1:5" x14ac:dyDescent="0.35">
      <c r="A56" t="s">
        <v>1349</v>
      </c>
      <c r="B56">
        <f>B55*'Expenses variable '!C59*1000/1000000</f>
        <v>0.74036557501019218</v>
      </c>
      <c r="D56" t="s">
        <v>1347</v>
      </c>
      <c r="E56">
        <v>0.27</v>
      </c>
    </row>
    <row r="57" spans="1:5" x14ac:dyDescent="0.35">
      <c r="A57" t="s">
        <v>1351</v>
      </c>
      <c r="B57">
        <f>'Expenses variable '!C60*E57/1000000</f>
        <v>6.913163556657671</v>
      </c>
      <c r="D57" t="s">
        <v>1350</v>
      </c>
      <c r="E57">
        <f>B55*1000*(Refinery!B9+Refinery!B10)</f>
        <v>25604309.469102483</v>
      </c>
    </row>
    <row r="58" spans="1:5" x14ac:dyDescent="0.35">
      <c r="A58" t="s">
        <v>1352</v>
      </c>
      <c r="B58">
        <f>B56+B57</f>
        <v>7.6535291316678631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55"/>
  <sheetViews>
    <sheetView topLeftCell="A33" workbookViewId="0">
      <selection activeCell="C2" sqref="C2:C48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11" x14ac:dyDescent="0.35">
      <c r="E1">
        <v>214000</v>
      </c>
      <c r="F1" t="s">
        <v>1025</v>
      </c>
    </row>
    <row r="2" spans="1:11" x14ac:dyDescent="0.35">
      <c r="A2" s="166" t="s">
        <v>920</v>
      </c>
      <c r="B2" s="168" t="s">
        <v>750</v>
      </c>
      <c r="C2" s="169">
        <f>C3+C10+C11+C12</f>
        <v>216.41061865457138</v>
      </c>
      <c r="E2">
        <v>354725.6</v>
      </c>
      <c r="F2" t="s">
        <v>1026</v>
      </c>
    </row>
    <row r="3" spans="1:11" x14ac:dyDescent="0.35">
      <c r="A3" s="170" t="s">
        <v>921</v>
      </c>
      <c r="B3" s="168" t="s">
        <v>750</v>
      </c>
      <c r="C3" s="172">
        <f>C4+C9</f>
        <v>132.60454574422266</v>
      </c>
      <c r="E3">
        <v>180000</v>
      </c>
    </row>
    <row r="4" spans="1:11" x14ac:dyDescent="0.35">
      <c r="A4" s="173" t="s">
        <v>922</v>
      </c>
      <c r="B4" s="168" t="s">
        <v>750</v>
      </c>
      <c r="C4" s="175">
        <f>SUM(C5:C8)</f>
        <v>53.041818297689062</v>
      </c>
    </row>
    <row r="5" spans="1:11" x14ac:dyDescent="0.35">
      <c r="A5" s="176" t="s">
        <v>923</v>
      </c>
      <c r="B5" s="168" t="s">
        <v>750</v>
      </c>
      <c r="C5" s="178">
        <v>0</v>
      </c>
    </row>
    <row r="6" spans="1:11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</row>
    <row r="7" spans="1:11" x14ac:dyDescent="0.35">
      <c r="A7" s="176" t="s">
        <v>925</v>
      </c>
      <c r="B7" s="168" t="s">
        <v>750</v>
      </c>
      <c r="C7" s="178">
        <f>'Expenses variable '!C77*(('yields '!C31*Refinery!B1/734)^0.75)</f>
        <v>8.5833886602817611</v>
      </c>
    </row>
    <row r="8" spans="1:11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</row>
    <row r="9" spans="1:11" x14ac:dyDescent="0.35">
      <c r="A9" s="179" t="s">
        <v>927</v>
      </c>
      <c r="B9" s="168" t="s">
        <v>750</v>
      </c>
      <c r="C9" s="175">
        <f>C4*'Expenses variable '!C3</f>
        <v>79.562727446533586</v>
      </c>
    </row>
    <row r="10" spans="1:11" x14ac:dyDescent="0.35">
      <c r="A10" s="180" t="s">
        <v>928</v>
      </c>
      <c r="B10" s="168" t="s">
        <v>750</v>
      </c>
      <c r="C10" s="172">
        <f>C3*'Expenses variable '!C4</f>
        <v>45.085545553035708</v>
      </c>
    </row>
    <row r="11" spans="1:11" x14ac:dyDescent="0.35">
      <c r="A11" s="180" t="s">
        <v>886</v>
      </c>
      <c r="B11" s="168" t="s">
        <v>750</v>
      </c>
      <c r="C11" s="172">
        <f>C4*'Expenses variable '!C5</f>
        <v>12.199618208468484</v>
      </c>
    </row>
    <row r="12" spans="1:11" x14ac:dyDescent="0.35">
      <c r="A12" s="170" t="s">
        <v>873</v>
      </c>
      <c r="B12" s="168" t="s">
        <v>750</v>
      </c>
      <c r="C12" s="172">
        <f>C4*('Expenses variable '!C6)</f>
        <v>26.520909148844531</v>
      </c>
      <c r="E12">
        <v>25</v>
      </c>
      <c r="F12" t="s">
        <v>487</v>
      </c>
      <c r="G12" t="s">
        <v>1248</v>
      </c>
    </row>
    <row r="13" spans="1:11" x14ac:dyDescent="0.35">
      <c r="A13" s="166" t="s">
        <v>888</v>
      </c>
      <c r="B13" s="168" t="s">
        <v>750</v>
      </c>
      <c r="C13" s="169">
        <f>C41*'Expenses variable '!C7</f>
        <v>10.532037987722525</v>
      </c>
      <c r="E13">
        <v>3.1</v>
      </c>
      <c r="F13" t="s">
        <v>1216</v>
      </c>
      <c r="G13" t="s">
        <v>1110</v>
      </c>
    </row>
    <row r="14" spans="1:11" x14ac:dyDescent="0.35">
      <c r="A14" s="166" t="s">
        <v>929</v>
      </c>
      <c r="B14" s="168" t="s">
        <v>750</v>
      </c>
      <c r="C14" s="181">
        <f>'Expenses variable '!C8*C2</f>
        <v>21.641061865457139</v>
      </c>
      <c r="F14" s="128"/>
    </row>
    <row r="15" spans="1:11" x14ac:dyDescent="0.35">
      <c r="A15" s="182" t="s">
        <v>930</v>
      </c>
      <c r="B15" s="168" t="s">
        <v>750</v>
      </c>
      <c r="C15" s="184">
        <f>C2+C13+C14</f>
        <v>248.58371850775106</v>
      </c>
      <c r="F15" s="128"/>
    </row>
    <row r="16" spans="1:11" x14ac:dyDescent="0.35">
      <c r="A16" s="182" t="s">
        <v>931</v>
      </c>
      <c r="B16" s="168" t="s">
        <v>750</v>
      </c>
      <c r="C16" s="184">
        <f>C15*'Expenses variable '!C9</f>
        <v>223.72534665697594</v>
      </c>
      <c r="F16" s="155"/>
      <c r="I16" s="173" t="s">
        <v>922</v>
      </c>
      <c r="J16" s="175">
        <v>53.041818297689062</v>
      </c>
      <c r="K16" s="312">
        <f>(J16/$C$15)*100</f>
        <v>21.337607553744583</v>
      </c>
    </row>
    <row r="17" spans="1:11" x14ac:dyDescent="0.35">
      <c r="A17" s="182"/>
      <c r="B17" s="183"/>
      <c r="C17" s="185"/>
      <c r="F17" s="128"/>
      <c r="I17" s="179" t="s">
        <v>927</v>
      </c>
      <c r="J17" s="175">
        <v>79.562727446533586</v>
      </c>
      <c r="K17" s="312">
        <f t="shared" ref="K17:K22" si="0">(J17/$C$15)*100</f>
        <v>32.006411330616871</v>
      </c>
    </row>
    <row r="18" spans="1:11" x14ac:dyDescent="0.35">
      <c r="A18" s="166" t="s">
        <v>860</v>
      </c>
      <c r="B18" s="183"/>
      <c r="C18" s="169">
        <f>C19+C28+C31</f>
        <v>47.582943312708018</v>
      </c>
      <c r="F18" s="128"/>
      <c r="I18" s="180" t="s">
        <v>928</v>
      </c>
      <c r="J18" s="172">
        <v>45.085545553035708</v>
      </c>
      <c r="K18" s="312">
        <f t="shared" si="0"/>
        <v>18.136966420682899</v>
      </c>
    </row>
    <row r="19" spans="1:11" x14ac:dyDescent="0.35">
      <c r="A19" s="170" t="s">
        <v>752</v>
      </c>
      <c r="B19" s="171" t="s">
        <v>1245</v>
      </c>
      <c r="C19" s="172">
        <f>SUM(C20:C27)+B55</f>
        <v>27.24198763379659</v>
      </c>
      <c r="F19" s="128"/>
      <c r="I19" s="180" t="s">
        <v>886</v>
      </c>
      <c r="J19" s="172">
        <v>12.199618208468484</v>
      </c>
      <c r="K19" s="312">
        <f t="shared" si="0"/>
        <v>4.907649737361254</v>
      </c>
    </row>
    <row r="20" spans="1:11" x14ac:dyDescent="0.35">
      <c r="A20" s="176" t="s">
        <v>861</v>
      </c>
      <c r="B20" s="177" t="s">
        <v>1245</v>
      </c>
      <c r="C20" s="178">
        <f>E12*Refinery!C5/1000000</f>
        <v>11.448598130841122</v>
      </c>
      <c r="F20" s="128"/>
      <c r="I20" s="170" t="s">
        <v>873</v>
      </c>
      <c r="J20" s="172">
        <v>26.520909148844531</v>
      </c>
      <c r="K20" s="312">
        <f t="shared" si="0"/>
        <v>10.668803776872291</v>
      </c>
    </row>
    <row r="21" spans="1:11" x14ac:dyDescent="0.35">
      <c r="A21" s="176" t="s">
        <v>1215</v>
      </c>
      <c r="B21" s="177" t="s">
        <v>1245</v>
      </c>
      <c r="C21" s="343">
        <f>E13*'yields '!C32*Refinery!C4/1000000</f>
        <v>4.2494750399999989E-3</v>
      </c>
      <c r="F21" s="128"/>
      <c r="I21" s="166" t="s">
        <v>888</v>
      </c>
      <c r="J21" s="169">
        <v>10.591174631205801</v>
      </c>
      <c r="K21" s="312">
        <f t="shared" si="0"/>
        <v>4.26060672629111</v>
      </c>
    </row>
    <row r="22" spans="1:11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  <c r="I22" s="166" t="s">
        <v>929</v>
      </c>
      <c r="J22" s="181">
        <v>21.641061865457139</v>
      </c>
      <c r="K22" s="312">
        <f t="shared" si="0"/>
        <v>8.7057438819277913</v>
      </c>
    </row>
    <row r="23" spans="1:11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  <c r="K23">
        <f>SUM(K16:K22)</f>
        <v>100.02378942749681</v>
      </c>
    </row>
    <row r="24" spans="1:11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11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2.3185593907783875</v>
      </c>
    </row>
    <row r="26" spans="1:11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11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</row>
    <row r="28" spans="1:11" x14ac:dyDescent="0.35">
      <c r="A28" s="170" t="s">
        <v>868</v>
      </c>
      <c r="B28" s="171" t="s">
        <v>1245</v>
      </c>
      <c r="C28" s="187">
        <f t="shared" ref="C28" si="1">SUM(C29:C30)</f>
        <v>0.86399999999999988</v>
      </c>
    </row>
    <row r="29" spans="1:11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11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11" x14ac:dyDescent="0.35">
      <c r="A31" s="170" t="s">
        <v>871</v>
      </c>
      <c r="B31" s="171" t="s">
        <v>1245</v>
      </c>
      <c r="C31" s="172">
        <f>'Expenses variable '!C32*'Expenses variable '!C9*expenses_full_fuel_HTL_Up!C2</f>
        <v>19.476955678911427</v>
      </c>
    </row>
    <row r="32" spans="1:11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9.5165886625416043</v>
      </c>
    </row>
    <row r="34" spans="1:3" x14ac:dyDescent="0.35">
      <c r="A34" s="166" t="s">
        <v>874</v>
      </c>
      <c r="B34" s="188" t="s">
        <v>1245</v>
      </c>
      <c r="C34" s="169">
        <f t="shared" ref="C34" si="2">SUM(C35:C37)</f>
        <v>35.764754647142318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2.9215433518367138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1.9476955678911425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30.895515727414463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5.2660189938612625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98.735105616253207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3">SUM(C42:C44)</f>
        <v>52.660189938612625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'!C50/1000000</f>
        <v>52.579911492019356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</row>
    <row r="45" spans="1:3" x14ac:dyDescent="0.35">
      <c r="A45" s="188" t="s">
        <v>935</v>
      </c>
      <c r="B45" s="188" t="s">
        <v>1245</v>
      </c>
      <c r="C45" s="169">
        <f>C41-C19</f>
        <v>25.418202304816035</v>
      </c>
    </row>
    <row r="46" spans="1:3" x14ac:dyDescent="0.35">
      <c r="A46" s="188" t="s">
        <v>936</v>
      </c>
      <c r="B46" s="188" t="s">
        <v>1245</v>
      </c>
      <c r="C46" s="169">
        <f t="shared" ref="C46" si="4">C41-C39</f>
        <v>-46.074915677640583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1669.8924301978745</v>
      </c>
    </row>
    <row r="48" spans="1:3" x14ac:dyDescent="0.35">
      <c r="A48" s="188" t="s">
        <v>1250</v>
      </c>
      <c r="C48">
        <f>C47/'Expenses variable '!C50</f>
        <v>1.8762836294358141</v>
      </c>
    </row>
    <row r="52" spans="1:5" x14ac:dyDescent="0.35">
      <c r="A52" t="s">
        <v>1348</v>
      </c>
      <c r="B52">
        <f>'Mass balances '!C188</f>
        <v>59.078552238223999</v>
      </c>
      <c r="D52" t="s">
        <v>1350</v>
      </c>
      <c r="E52">
        <f>B52*(Refinery!B9+Refinery!B10)*1000</f>
        <v>24517599.178862959</v>
      </c>
    </row>
    <row r="53" spans="1:5" x14ac:dyDescent="0.35">
      <c r="A53" t="s">
        <v>1349</v>
      </c>
      <c r="B53">
        <f>B52*'Expenses variable '!C59*1000/1000000</f>
        <v>0.70894262685868792</v>
      </c>
    </row>
    <row r="54" spans="1:5" x14ac:dyDescent="0.35">
      <c r="A54" t="s">
        <v>1351</v>
      </c>
      <c r="B54">
        <f>'Expenses variable '!C60*E52/1000000</f>
        <v>6.6197517782929998</v>
      </c>
    </row>
    <row r="55" spans="1:5" x14ac:dyDescent="0.35">
      <c r="A55" t="s">
        <v>1352</v>
      </c>
      <c r="B55">
        <f>B53+B54</f>
        <v>7.3286944051516878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918BB-EA8D-4B02-B243-2D7BE48196F4}">
  <dimension ref="A1:G55"/>
  <sheetViews>
    <sheetView workbookViewId="0">
      <selection activeCell="C2" sqref="C2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181.39039292062179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111.14607409351825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44.458429637407299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</row>
    <row r="7" spans="1:7" x14ac:dyDescent="0.35">
      <c r="A7" s="176" t="s">
        <v>925</v>
      </c>
      <c r="B7" s="168" t="s">
        <v>750</v>
      </c>
      <c r="C7" s="178"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</row>
    <row r="9" spans="1:7" x14ac:dyDescent="0.35">
      <c r="A9" s="179" t="s">
        <v>927</v>
      </c>
      <c r="B9" s="168" t="s">
        <v>750</v>
      </c>
      <c r="C9" s="175">
        <f>C4*'Expenses variable '!C3</f>
        <v>66.687644456110945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37.78966519179621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10.225438816603679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22.22921481870365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10.532037987722525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18.139039292062179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210.06147020040652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189.05532318036586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44.506084341602786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SUM(C20:C27)+B55</f>
        <v>27.316948978746826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11.448598130841122</v>
      </c>
      <c r="F20" s="128"/>
    </row>
    <row r="21" spans="1:6" x14ac:dyDescent="0.35">
      <c r="A21" s="176" t="s">
        <v>1215</v>
      </c>
      <c r="B21" s="177" t="s">
        <v>1245</v>
      </c>
      <c r="C21" s="343">
        <f>E13*'yields '!C32*Refinery!C4/1000000</f>
        <v>4.2494750399999989E-3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2.3185593907783875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'!C9*expenses_full_fuel_HTL_CoUp!C2</f>
        <v>16.325135362855963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8.9012168683205584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30.189017264526704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2.4487703044283942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1.6325135362855963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26.107733423812714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5.2660189938612625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89.467137468311307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52.660189938612625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'!C50/1000000</f>
        <v>52.579911492019356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</row>
    <row r="45" spans="1:3" x14ac:dyDescent="0.35">
      <c r="A45" s="188" t="s">
        <v>935</v>
      </c>
      <c r="B45" s="188" t="s">
        <v>1245</v>
      </c>
      <c r="C45" s="169">
        <f>C41-C19</f>
        <v>25.343240959865799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-36.806947529698682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1513.0170871703333</v>
      </c>
    </row>
    <row r="48" spans="1:3" x14ac:dyDescent="0.35">
      <c r="A48" s="188" t="s">
        <v>1250</v>
      </c>
      <c r="C48">
        <f>C47/'Expenses variable '!C50</f>
        <v>1.7000191990677902</v>
      </c>
    </row>
    <row r="52" spans="1:5" x14ac:dyDescent="0.35">
      <c r="A52" t="s">
        <v>1348</v>
      </c>
      <c r="B52">
        <f>'Mass balances '!C187</f>
        <v>61.69713125084936</v>
      </c>
      <c r="D52" t="s">
        <v>1350</v>
      </c>
      <c r="E52">
        <f>B52*(Refinery!B9)*1000</f>
        <v>24678852.500339743</v>
      </c>
    </row>
    <row r="53" spans="1:5" x14ac:dyDescent="0.35">
      <c r="A53" t="s">
        <v>1349</v>
      </c>
      <c r="B53">
        <f>B52*'Expenses variable '!C59*1000/1000000</f>
        <v>0.74036557501019218</v>
      </c>
    </row>
    <row r="54" spans="1:5" x14ac:dyDescent="0.35">
      <c r="A54" t="s">
        <v>1351</v>
      </c>
      <c r="B54">
        <f>'Expenses variable '!C60*E52/1000000</f>
        <v>6.6632901750917313</v>
      </c>
    </row>
    <row r="55" spans="1:5" x14ac:dyDescent="0.35">
      <c r="A55" t="s">
        <v>1352</v>
      </c>
      <c r="B55">
        <f>B53+B54</f>
        <v>7.4036557501019233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902CD-69EE-45BE-AD75-40454F0B54AF}">
  <dimension ref="A1:G58"/>
  <sheetViews>
    <sheetView workbookViewId="0">
      <selection activeCell="B12" sqref="B12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216.41061865457138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132.60454574422266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53.041818297689062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</row>
    <row r="7" spans="1:7" x14ac:dyDescent="0.35">
      <c r="A7" s="176" t="s">
        <v>925</v>
      </c>
      <c r="B7" s="168" t="s">
        <v>750</v>
      </c>
      <c r="C7" s="178">
        <f>'Expenses variable '!C77*(('yields '!C31*Refinery!B1/734)^0.75)</f>
        <v>8.5833886602817611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</row>
    <row r="9" spans="1:7" x14ac:dyDescent="0.35">
      <c r="A9" s="179" t="s">
        <v>927</v>
      </c>
      <c r="B9" s="168" t="s">
        <v>750</v>
      </c>
      <c r="C9" s="175">
        <f>C4*'Expenses variable '!C3</f>
        <v>79.562727446533586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45.085545553035708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12.199618208468484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26.520909148844531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9.0806993887291334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21.641061865457139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247.13237990875766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222.41914191788189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47.343675176143208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27.002719497231784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11.448598130841122</v>
      </c>
      <c r="F20" s="128"/>
    </row>
    <row r="21" spans="1:6" x14ac:dyDescent="0.35">
      <c r="A21" s="176" t="s">
        <v>1215</v>
      </c>
      <c r="B21" s="177" t="s">
        <v>1245</v>
      </c>
      <c r="C21" s="343">
        <f>E13*'yields '!C32*Refinery!C4/1000000</f>
        <v>4.2494750399999989E-3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2.3185593907783875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'!C9*expenses_full_fuel_HTL_UP_frac!C2</f>
        <v>19.476955678911427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9.4687350352286419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35.58437334630662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2.9215433518367138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1.9476955678911425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30.715134426578761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4.5403496943645667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97.541933252043037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>SUM(C42:C44)+C50+C51</f>
        <v>45.403496943645663</v>
      </c>
    </row>
    <row r="42" spans="1:3" x14ac:dyDescent="0.35">
      <c r="A42" s="190" t="s">
        <v>933</v>
      </c>
      <c r="B42" s="177" t="s">
        <v>1245</v>
      </c>
      <c r="C42" s="178">
        <f>'Mass balances '!B196*(8000/1000)*'Expenses variable '!C50/1000000</f>
        <v>19.144081499382025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</row>
    <row r="45" spans="1:3" x14ac:dyDescent="0.35">
      <c r="A45" s="188" t="s">
        <v>935</v>
      </c>
      <c r="B45" s="188" t="s">
        <v>1245</v>
      </c>
      <c r="C45" s="169">
        <f>C41-C19</f>
        <v>18.40077744641388</v>
      </c>
    </row>
    <row r="46" spans="1:3" x14ac:dyDescent="0.35">
      <c r="A46" s="188" t="s">
        <v>936</v>
      </c>
      <c r="B46" s="188" t="s">
        <v>1245</v>
      </c>
      <c r="C46" s="169">
        <f t="shared" ref="C46" si="2">C41-C39</f>
        <v>-52.138436308397374</v>
      </c>
    </row>
    <row r="47" spans="1:3" x14ac:dyDescent="0.35">
      <c r="A47" s="191" t="s">
        <v>937</v>
      </c>
      <c r="B47" s="191" t="s">
        <v>1251</v>
      </c>
      <c r="C47" s="169">
        <f>(C39-C44-C50-C51)*1000000/((8000/24)*'yields '!C8*Refinery!B1)</f>
        <v>1206.5718455717235</v>
      </c>
    </row>
    <row r="48" spans="1:3" x14ac:dyDescent="0.35">
      <c r="A48" s="188" t="s">
        <v>1250</v>
      </c>
      <c r="C48">
        <f>C47/'Expenses variable '!C50</f>
        <v>1.3556987028895771</v>
      </c>
    </row>
    <row r="50" spans="1:5" x14ac:dyDescent="0.35">
      <c r="B50" t="s">
        <v>1323</v>
      </c>
      <c r="C50">
        <f>'Mass balances '!B194*(8000/1000)*Sheet4!K60/1000000</f>
        <v>5.4086713790751491</v>
      </c>
    </row>
    <row r="51" spans="1:5" x14ac:dyDescent="0.35">
      <c r="B51" t="s">
        <v>1324</v>
      </c>
      <c r="C51">
        <f>'Mass balances '!B195*(8000/1000)*Sheet4!K61/1000000</f>
        <v>20.770465618595225</v>
      </c>
    </row>
    <row r="55" spans="1:5" x14ac:dyDescent="0.35">
      <c r="A55" t="s">
        <v>1348</v>
      </c>
      <c r="B55">
        <f>expenses_full_fuel_HTL_Up!B52</f>
        <v>59.078552238223999</v>
      </c>
      <c r="D55" t="s">
        <v>1350</v>
      </c>
      <c r="E55">
        <f>B55*1000*Refinery!B9</f>
        <v>23631420.8952896</v>
      </c>
    </row>
    <row r="56" spans="1:5" x14ac:dyDescent="0.35">
      <c r="A56" t="s">
        <v>1349</v>
      </c>
      <c r="B56">
        <f>B55*'Expenses variable '!C59*1000/1000000</f>
        <v>0.70894262685868792</v>
      </c>
    </row>
    <row r="57" spans="1:5" x14ac:dyDescent="0.35">
      <c r="A57" t="s">
        <v>1351</v>
      </c>
      <c r="B57">
        <f>'Expenses variable '!C60*E55/1000000</f>
        <v>6.3804836417281923</v>
      </c>
    </row>
    <row r="58" spans="1:5" x14ac:dyDescent="0.35">
      <c r="A58" t="s">
        <v>1352</v>
      </c>
      <c r="B58">
        <f>B56+B57</f>
        <v>7.0894262685868803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E038D-2056-438D-AB81-A70D68108502}">
  <dimension ref="A1:G58"/>
  <sheetViews>
    <sheetView topLeftCell="A33" workbookViewId="0">
      <selection activeCell="D51" sqref="D51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181.39039292062179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111.14607409351825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44.458429637407299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</row>
    <row r="7" spans="1:7" x14ac:dyDescent="0.35">
      <c r="A7" s="176" t="s">
        <v>925</v>
      </c>
      <c r="B7" s="168" t="s">
        <v>750</v>
      </c>
      <c r="C7" s="178"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</row>
    <row r="9" spans="1:7" x14ac:dyDescent="0.35">
      <c r="A9" s="179" t="s">
        <v>927</v>
      </c>
      <c r="B9" s="168" t="s">
        <v>750</v>
      </c>
      <c r="C9" s="175">
        <f>C4*'Expenses variable '!C3</f>
        <v>66.687644456110945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37.78966519179621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10.225438816603679</v>
      </c>
    </row>
    <row r="12" spans="1:7" x14ac:dyDescent="0.35">
      <c r="A12" s="170" t="s">
        <v>873</v>
      </c>
      <c r="B12" s="168" t="s">
        <v>750</v>
      </c>
      <c r="C12" s="172">
        <f>C4*('Expenses variable '!C6)</f>
        <v>22.22921481870365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9.0806993887291334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18.139039292062179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208.61013160141312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187.7491184412718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44.506084341602786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SUM(C20:C27)+B58</f>
        <v>27.316948978746826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11.448598130841122</v>
      </c>
      <c r="F20" s="128"/>
    </row>
    <row r="21" spans="1:6" x14ac:dyDescent="0.35">
      <c r="A21" s="176" t="s">
        <v>1215</v>
      </c>
      <c r="B21" s="177" t="s">
        <v>1245</v>
      </c>
      <c r="C21" s="343">
        <f>E13*'yields '!C32*Refinery!C4/1000000</f>
        <v>4.2494750399999989E-3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2.3185593907783875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'!C9*expenses_full_fuel_HTL_CoUp_fra!C2</f>
        <v>16.325135362855963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8.9012168683205584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30.008635963691003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2.4487703044283942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1.6325135362855963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25.927352122977013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4.5403496943645667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88.561086867978915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>SUM(C42:C44)+C50+C51</f>
        <v>45.403496943645663</v>
      </c>
    </row>
    <row r="42" spans="1:3" x14ac:dyDescent="0.35">
      <c r="A42" s="190" t="s">
        <v>933</v>
      </c>
      <c r="B42" s="177" t="s">
        <v>1245</v>
      </c>
      <c r="C42" s="178">
        <f>'Mass balances '!B196*(8000/1000)*'Expenses variable '!C50/1000000</f>
        <v>19.144081499382025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</row>
    <row r="45" spans="1:3" x14ac:dyDescent="0.35">
      <c r="A45" s="188" t="s">
        <v>935</v>
      </c>
      <c r="B45" s="188" t="s">
        <v>1245</v>
      </c>
      <c r="C45" s="169">
        <f>C41-C19</f>
        <v>18.086547964898838</v>
      </c>
    </row>
    <row r="46" spans="1:3" x14ac:dyDescent="0.35">
      <c r="A46" s="188" t="s">
        <v>936</v>
      </c>
      <c r="B46" s="188" t="s">
        <v>1245</v>
      </c>
      <c r="C46" s="169">
        <f t="shared" ref="C46" si="2">C41-C39</f>
        <v>-43.157589924333251</v>
      </c>
    </row>
    <row r="47" spans="1:3" x14ac:dyDescent="0.35">
      <c r="A47" s="191" t="s">
        <v>937</v>
      </c>
      <c r="B47" s="191" t="s">
        <v>1251</v>
      </c>
      <c r="C47" s="169">
        <f>(C39-C44-C50-C51)*1000000/((8000/24)*'yields '!C8*Refinery!B1)</f>
        <v>1054.5565025441824</v>
      </c>
    </row>
    <row r="48" spans="1:3" x14ac:dyDescent="0.35">
      <c r="A48" s="188" t="s">
        <v>1250</v>
      </c>
      <c r="C48">
        <f>C47/'Expenses variable '!C50</f>
        <v>1.1848949466788568</v>
      </c>
    </row>
    <row r="50" spans="1:5" x14ac:dyDescent="0.35">
      <c r="B50" t="s">
        <v>1323</v>
      </c>
      <c r="C50">
        <f>'Mass balances '!B194*(8000/1000)*Sheet4!K60/1000000</f>
        <v>5.4086713790751491</v>
      </c>
    </row>
    <row r="51" spans="1:5" x14ac:dyDescent="0.35">
      <c r="B51" t="s">
        <v>1324</v>
      </c>
      <c r="C51">
        <f>'Mass balances '!B195*(8000/1000)*Sheet4!K61/1000000</f>
        <v>20.770465618595225</v>
      </c>
    </row>
    <row r="55" spans="1:5" x14ac:dyDescent="0.35">
      <c r="A55" t="s">
        <v>1348</v>
      </c>
      <c r="B55">
        <f>expenses_full_fuel_HTL_CoUp!B52</f>
        <v>61.69713125084936</v>
      </c>
      <c r="D55" t="s">
        <v>1350</v>
      </c>
      <c r="E55">
        <f>B55*1000*Refinery!B9</f>
        <v>24678852.500339743</v>
      </c>
    </row>
    <row r="56" spans="1:5" x14ac:dyDescent="0.35">
      <c r="A56" t="s">
        <v>1349</v>
      </c>
      <c r="B56">
        <f>B55*'Expenses variable '!C59*1000/1000000</f>
        <v>0.74036557501019218</v>
      </c>
    </row>
    <row r="57" spans="1:5" x14ac:dyDescent="0.35">
      <c r="A57" t="s">
        <v>1351</v>
      </c>
      <c r="B57">
        <f>'Expenses variable '!C60*E55/1000000</f>
        <v>6.6632901750917313</v>
      </c>
    </row>
    <row r="58" spans="1:5" x14ac:dyDescent="0.35">
      <c r="A58" t="s">
        <v>1352</v>
      </c>
      <c r="B58">
        <f>B56+B57</f>
        <v>7.4036557501019233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7EE3A-6F8D-4430-B411-877ACCD4CDD8}">
  <dimension ref="A1:E10"/>
  <sheetViews>
    <sheetView workbookViewId="0">
      <selection activeCell="F16" sqref="F16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1207</v>
      </c>
      <c r="B1">
        <f>'Mass balances '!D6*24/1000</f>
        <v>588</v>
      </c>
      <c r="C1" t="s">
        <v>1208</v>
      </c>
    </row>
    <row r="2" spans="1:5" x14ac:dyDescent="0.35">
      <c r="A2" t="s">
        <v>1210</v>
      </c>
      <c r="B2">
        <v>8000</v>
      </c>
    </row>
    <row r="3" spans="1:5" x14ac:dyDescent="0.35">
      <c r="A3" t="s">
        <v>837</v>
      </c>
    </row>
    <row r="4" spans="1:5" x14ac:dyDescent="0.35">
      <c r="A4" t="s">
        <v>838</v>
      </c>
      <c r="B4" t="s">
        <v>839</v>
      </c>
      <c r="C4">
        <f>B1/24*8000</f>
        <v>196000</v>
      </c>
    </row>
    <row r="5" spans="1:5" x14ac:dyDescent="0.35">
      <c r="A5" t="s">
        <v>840</v>
      </c>
      <c r="B5" t="s">
        <v>839</v>
      </c>
      <c r="C5" s="137">
        <f>(B1/(1-'Background information'!B5))/24*8000</f>
        <v>457943.92523364484</v>
      </c>
      <c r="E5" s="1"/>
    </row>
    <row r="7" spans="1:5" x14ac:dyDescent="0.35">
      <c r="A7" t="s">
        <v>1211</v>
      </c>
      <c r="B7">
        <v>100</v>
      </c>
      <c r="C7" t="s">
        <v>487</v>
      </c>
    </row>
    <row r="8" spans="1:5" x14ac:dyDescent="0.35">
      <c r="A8" t="s">
        <v>1212</v>
      </c>
      <c r="B8">
        <v>30</v>
      </c>
      <c r="C8" t="s">
        <v>1209</v>
      </c>
    </row>
    <row r="9" spans="1:5" x14ac:dyDescent="0.35">
      <c r="A9" t="s">
        <v>1213</v>
      </c>
      <c r="B9">
        <v>400</v>
      </c>
      <c r="C9" t="s">
        <v>1209</v>
      </c>
    </row>
    <row r="10" spans="1:5" x14ac:dyDescent="0.35">
      <c r="A10" t="s">
        <v>1214</v>
      </c>
      <c r="B10">
        <v>15</v>
      </c>
      <c r="C10" t="s">
        <v>1209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7"/>
  <sheetViews>
    <sheetView workbookViewId="0">
      <selection activeCell="C66" sqref="C66"/>
    </sheetView>
  </sheetViews>
  <sheetFormatPr defaultRowHeight="14.5" x14ac:dyDescent="0.35"/>
  <cols>
    <col min="1" max="1" width="27.1796875" customWidth="1"/>
    <col min="2" max="2" width="25.26953125" customWidth="1"/>
    <col min="3" max="3" width="20.1796875" customWidth="1"/>
  </cols>
  <sheetData>
    <row r="1" spans="1:7" ht="27" thickBot="1" x14ac:dyDescent="0.4">
      <c r="A1" s="48" t="s">
        <v>693</v>
      </c>
      <c r="B1" s="46"/>
      <c r="C1" s="46"/>
    </row>
    <row r="2" spans="1:7" ht="15" thickBot="1" x14ac:dyDescent="0.4">
      <c r="A2" s="47"/>
      <c r="B2" s="47"/>
      <c r="C2" s="47"/>
    </row>
    <row r="3" spans="1:7" ht="15" thickBot="1" x14ac:dyDescent="0.4">
      <c r="A3" s="48" t="s">
        <v>616</v>
      </c>
      <c r="B3" s="46"/>
      <c r="C3" s="46"/>
    </row>
    <row r="4" spans="1:7" ht="15" thickBot="1" x14ac:dyDescent="0.4">
      <c r="A4" s="100" t="s">
        <v>545</v>
      </c>
      <c r="B4" s="100"/>
      <c r="C4" s="55"/>
    </row>
    <row r="5" spans="1:7" ht="15" thickBot="1" x14ac:dyDescent="0.4">
      <c r="A5" s="47"/>
      <c r="B5" s="47"/>
      <c r="C5" s="47"/>
    </row>
    <row r="6" spans="1:7" ht="15" thickBot="1" x14ac:dyDescent="0.4">
      <c r="A6" s="48" t="s">
        <v>1030</v>
      </c>
      <c r="B6" s="46"/>
      <c r="C6" s="46"/>
    </row>
    <row r="7" spans="1:7" ht="15" thickBot="1" x14ac:dyDescent="0.4">
      <c r="A7" s="100" t="s">
        <v>545</v>
      </c>
      <c r="B7" s="100"/>
      <c r="C7" s="55"/>
    </row>
    <row r="8" spans="1:7" ht="15" thickBot="1" x14ac:dyDescent="0.4">
      <c r="A8" s="47"/>
      <c r="B8" s="47"/>
      <c r="C8" s="47"/>
    </row>
    <row r="9" spans="1:7" ht="15" thickBot="1" x14ac:dyDescent="0.4">
      <c r="A9" s="48" t="s">
        <v>526</v>
      </c>
      <c r="B9" s="48"/>
      <c r="C9" s="48"/>
      <c r="E9" t="s">
        <v>811</v>
      </c>
      <c r="G9" t="s">
        <v>812</v>
      </c>
    </row>
    <row r="10" spans="1:7" ht="15" thickBot="1" x14ac:dyDescent="0.4">
      <c r="A10" s="100" t="s">
        <v>695</v>
      </c>
      <c r="B10" s="100" t="s">
        <v>694</v>
      </c>
      <c r="C10" s="55" t="s">
        <v>696</v>
      </c>
      <c r="D10">
        <f>('Mass balances '!D6)*E10</f>
        <v>514.5</v>
      </c>
      <c r="E10">
        <v>2.1000000000000001E-2</v>
      </c>
      <c r="F10" t="s">
        <v>740</v>
      </c>
    </row>
    <row r="11" spans="1:7" ht="15" thickBot="1" x14ac:dyDescent="0.4">
      <c r="A11" s="49" t="s">
        <v>697</v>
      </c>
      <c r="B11" s="49" t="s">
        <v>698</v>
      </c>
      <c r="C11" s="52" t="s">
        <v>699</v>
      </c>
      <c r="D11">
        <f>(150-25)*(4.2/1000)*'Mass balances '!D14</f>
        <v>0</v>
      </c>
    </row>
    <row r="12" spans="1:7" ht="15" thickBot="1" x14ac:dyDescent="0.4">
      <c r="A12" s="47"/>
      <c r="B12" s="47"/>
      <c r="C12" s="47"/>
    </row>
    <row r="13" spans="1:7" ht="27" thickBot="1" x14ac:dyDescent="0.4">
      <c r="A13" s="48" t="s">
        <v>539</v>
      </c>
      <c r="B13" s="46"/>
      <c r="C13" s="46"/>
    </row>
    <row r="14" spans="1:7" ht="15" thickBot="1" x14ac:dyDescent="0.4">
      <c r="A14" s="100" t="s">
        <v>700</v>
      </c>
      <c r="B14" s="100" t="s">
        <v>698</v>
      </c>
      <c r="C14" s="55" t="s">
        <v>701</v>
      </c>
      <c r="D14">
        <f>'utilities '!E14*'Mass balances '!D27</f>
        <v>66610.240000000005</v>
      </c>
      <c r="E14">
        <v>0.32</v>
      </c>
    </row>
    <row r="15" spans="1:7" ht="15" thickBot="1" x14ac:dyDescent="0.4">
      <c r="A15" s="100" t="s">
        <v>545</v>
      </c>
      <c r="B15" s="100" t="s">
        <v>702</v>
      </c>
      <c r="C15" s="55" t="s">
        <v>703</v>
      </c>
      <c r="D15">
        <f>E15*'Mass balances '!D27</f>
        <v>1873.4129999999998</v>
      </c>
      <c r="E15">
        <v>8.9999999999999993E-3</v>
      </c>
    </row>
    <row r="16" spans="1:7" ht="15" thickBot="1" x14ac:dyDescent="0.4">
      <c r="A16" s="47"/>
      <c r="B16" s="47"/>
      <c r="C16" s="47"/>
    </row>
    <row r="17" spans="1:5" ht="15" thickBot="1" x14ac:dyDescent="0.4">
      <c r="A17" s="48" t="s">
        <v>561</v>
      </c>
      <c r="B17" s="46"/>
      <c r="C17" s="46"/>
    </row>
    <row r="18" spans="1:5" ht="15" thickBot="1" x14ac:dyDescent="0.4">
      <c r="A18" s="47"/>
      <c r="B18" s="47"/>
      <c r="C18" s="47"/>
    </row>
    <row r="19" spans="1:5" ht="15" thickBot="1" x14ac:dyDescent="0.4">
      <c r="A19" s="47"/>
      <c r="B19" s="47"/>
      <c r="C19" s="47"/>
    </row>
    <row r="20" spans="1:5" ht="15" thickBot="1" x14ac:dyDescent="0.4">
      <c r="A20" s="48" t="s">
        <v>562</v>
      </c>
      <c r="B20" s="46"/>
      <c r="C20" s="46"/>
    </row>
    <row r="21" spans="1:5" ht="15" thickBot="1" x14ac:dyDescent="0.4">
      <c r="A21" s="47"/>
      <c r="B21" s="47"/>
      <c r="C21" s="47"/>
    </row>
    <row r="22" spans="1:5" ht="27" thickBot="1" x14ac:dyDescent="0.4">
      <c r="A22" s="48" t="s">
        <v>564</v>
      </c>
      <c r="B22" s="46"/>
      <c r="C22" s="46"/>
    </row>
    <row r="23" spans="1:5" ht="15" thickBot="1" x14ac:dyDescent="0.4">
      <c r="A23" s="47"/>
      <c r="B23" s="47"/>
      <c r="C23" s="47"/>
    </row>
    <row r="24" spans="1:5" ht="15" thickBot="1" x14ac:dyDescent="0.4">
      <c r="A24" s="45" t="s">
        <v>588</v>
      </c>
      <c r="B24" s="46"/>
      <c r="C24" s="46"/>
    </row>
    <row r="25" spans="1:5" ht="15" thickBot="1" x14ac:dyDescent="0.4">
      <c r="A25" s="49" t="s">
        <v>704</v>
      </c>
      <c r="B25" s="49" t="s">
        <v>698</v>
      </c>
      <c r="C25" s="52" t="s">
        <v>705</v>
      </c>
      <c r="D25">
        <f>E25*'Mass balances '!E30</f>
        <v>0</v>
      </c>
      <c r="E25">
        <v>31.184999999999999</v>
      </c>
    </row>
    <row r="26" spans="1:5" ht="15" thickBot="1" x14ac:dyDescent="0.4">
      <c r="A26" s="47"/>
      <c r="B26" s="47"/>
      <c r="C26" s="47"/>
    </row>
    <row r="27" spans="1:5" ht="27" thickBot="1" x14ac:dyDescent="0.4">
      <c r="A27" s="48" t="s">
        <v>592</v>
      </c>
      <c r="B27" s="46"/>
      <c r="C27" s="46"/>
    </row>
    <row r="28" spans="1:5" ht="15" thickBot="1" x14ac:dyDescent="0.4">
      <c r="A28" s="47"/>
      <c r="B28" s="47"/>
      <c r="C28" s="47"/>
    </row>
    <row r="29" spans="1:5" ht="15" thickBot="1" x14ac:dyDescent="0.4">
      <c r="A29" s="48" t="s">
        <v>594</v>
      </c>
      <c r="B29" s="46"/>
      <c r="C29" s="46"/>
    </row>
    <row r="30" spans="1:5" ht="15" thickBot="1" x14ac:dyDescent="0.4">
      <c r="A30" s="79"/>
      <c r="B30" s="47"/>
      <c r="C30" s="79"/>
    </row>
    <row r="31" spans="1:5" ht="15" thickBot="1" x14ac:dyDescent="0.4">
      <c r="A31" s="48" t="s">
        <v>599</v>
      </c>
      <c r="B31" s="46"/>
      <c r="C31" s="46"/>
    </row>
    <row r="32" spans="1:5" ht="15" thickBot="1" x14ac:dyDescent="0.4">
      <c r="A32" s="49" t="s">
        <v>545</v>
      </c>
      <c r="B32" s="49" t="s">
        <v>702</v>
      </c>
      <c r="C32" s="55" t="s">
        <v>706</v>
      </c>
      <c r="D32">
        <f>E32*'Mass balances '!D135</f>
        <v>555.79131371803339</v>
      </c>
      <c r="E32">
        <v>7.0000000000000007E-2</v>
      </c>
    </row>
    <row r="33" spans="1:4" ht="15" thickBot="1" x14ac:dyDescent="0.4">
      <c r="A33" s="49" t="s">
        <v>707</v>
      </c>
      <c r="B33" s="49" t="s">
        <v>698</v>
      </c>
      <c r="C33" s="55" t="s">
        <v>708</v>
      </c>
      <c r="D33">
        <f>250*(4.2/1000)*('Mass balances '!D135)</f>
        <v>8336.8697057705012</v>
      </c>
    </row>
    <row r="34" spans="1:4" ht="15" thickBot="1" x14ac:dyDescent="0.4">
      <c r="A34" s="47"/>
      <c r="B34" s="47"/>
      <c r="C34" s="47"/>
    </row>
    <row r="35" spans="1:4" ht="15" thickBot="1" x14ac:dyDescent="0.4">
      <c r="A35" s="48" t="s">
        <v>605</v>
      </c>
      <c r="B35" s="46"/>
      <c r="C35" s="46"/>
    </row>
    <row r="36" spans="1:4" ht="15" thickBot="1" x14ac:dyDescent="0.4">
      <c r="A36" s="47"/>
      <c r="B36" s="47"/>
      <c r="C36" s="47"/>
    </row>
    <row r="37" spans="1:4" ht="15" thickBot="1" x14ac:dyDescent="0.4">
      <c r="A37" s="46"/>
      <c r="B37" s="46"/>
      <c r="C37" s="46"/>
    </row>
    <row r="38" spans="1:4" ht="15" thickBot="1" x14ac:dyDescent="0.4">
      <c r="A38" s="47"/>
      <c r="B38" s="47"/>
      <c r="C38" s="47"/>
    </row>
    <row r="39" spans="1:4" ht="15" thickBot="1" x14ac:dyDescent="0.4">
      <c r="A39" s="48" t="s">
        <v>676</v>
      </c>
      <c r="B39" s="46"/>
      <c r="C39" s="46"/>
    </row>
    <row r="40" spans="1:4" ht="15" thickBot="1" x14ac:dyDescent="0.4">
      <c r="A40" s="49" t="s">
        <v>545</v>
      </c>
      <c r="B40" s="49" t="s">
        <v>702</v>
      </c>
      <c r="C40" s="55" t="s">
        <v>709</v>
      </c>
    </row>
    <row r="41" spans="1:4" ht="15" thickBot="1" x14ac:dyDescent="0.4">
      <c r="A41" s="100" t="s">
        <v>710</v>
      </c>
      <c r="B41" s="100" t="s">
        <v>513</v>
      </c>
      <c r="C41" s="55" t="s">
        <v>711</v>
      </c>
    </row>
    <row r="42" spans="1:4" ht="15" thickBot="1" x14ac:dyDescent="0.4">
      <c r="A42" s="48" t="s">
        <v>712</v>
      </c>
      <c r="B42" s="46"/>
      <c r="C42" s="46"/>
    </row>
    <row r="43" spans="1:4" ht="15" thickBot="1" x14ac:dyDescent="0.4">
      <c r="A43" s="47"/>
      <c r="B43" s="47"/>
      <c r="C43" s="47"/>
    </row>
    <row r="44" spans="1:4" ht="15" thickBot="1" x14ac:dyDescent="0.4">
      <c r="A44" s="47"/>
      <c r="B44" s="47"/>
      <c r="C44" s="47"/>
    </row>
    <row r="45" spans="1:4" ht="15" thickBot="1" x14ac:dyDescent="0.4">
      <c r="A45" s="48" t="s">
        <v>660</v>
      </c>
      <c r="B45" s="46"/>
      <c r="C45" s="46"/>
    </row>
    <row r="46" spans="1:4" ht="15" thickBot="1" x14ac:dyDescent="0.4">
      <c r="A46" s="100" t="s">
        <v>713</v>
      </c>
      <c r="B46" s="100" t="s">
        <v>698</v>
      </c>
      <c r="C46" s="55" t="s">
        <v>714</v>
      </c>
    </row>
    <row r="47" spans="1:4" ht="15" thickBot="1" x14ac:dyDescent="0.4">
      <c r="A47" s="100" t="s">
        <v>715</v>
      </c>
      <c r="B47" s="100" t="s">
        <v>698</v>
      </c>
      <c r="C47" s="55" t="s">
        <v>716</v>
      </c>
    </row>
    <row r="48" spans="1:4" ht="15" thickBot="1" x14ac:dyDescent="0.4">
      <c r="A48" s="100" t="s">
        <v>717</v>
      </c>
      <c r="B48" s="100" t="s">
        <v>702</v>
      </c>
      <c r="C48" s="55" t="s">
        <v>718</v>
      </c>
    </row>
    <row r="49" spans="1:4" ht="15" thickBot="1" x14ac:dyDescent="0.4">
      <c r="A49" s="48" t="s">
        <v>719</v>
      </c>
      <c r="B49" s="46"/>
      <c r="C49" s="46"/>
    </row>
    <row r="50" spans="1:4" ht="15" thickBot="1" x14ac:dyDescent="0.4">
      <c r="A50" s="100" t="s">
        <v>720</v>
      </c>
      <c r="B50" s="100" t="s">
        <v>702</v>
      </c>
      <c r="C50" s="52" t="s">
        <v>721</v>
      </c>
      <c r="D50">
        <f>D10+D15+D32</f>
        <v>2943.7043137180331</v>
      </c>
    </row>
    <row r="51" spans="1:4" ht="15" thickBot="1" x14ac:dyDescent="0.4">
      <c r="A51" s="102" t="s">
        <v>720</v>
      </c>
      <c r="B51" s="102" t="s">
        <v>698</v>
      </c>
      <c r="C51" s="52" t="s">
        <v>722</v>
      </c>
      <c r="D51">
        <f>3.6*D50</f>
        <v>10597.33552938492</v>
      </c>
    </row>
    <row r="52" spans="1:4" ht="27" thickBot="1" x14ac:dyDescent="0.4">
      <c r="A52" s="100" t="s">
        <v>723</v>
      </c>
      <c r="B52" s="100" t="s">
        <v>698</v>
      </c>
      <c r="C52" s="52" t="s">
        <v>724</v>
      </c>
      <c r="D52">
        <f>D51/0.8</f>
        <v>13246.669411731149</v>
      </c>
    </row>
    <row r="53" spans="1:4" ht="15" thickBot="1" x14ac:dyDescent="0.4">
      <c r="A53" s="102" t="s">
        <v>725</v>
      </c>
      <c r="B53" s="102" t="s">
        <v>698</v>
      </c>
      <c r="C53" s="108" t="s">
        <v>659</v>
      </c>
    </row>
    <row r="54" spans="1:4" ht="15" thickBot="1" x14ac:dyDescent="0.4">
      <c r="A54" s="102" t="s">
        <v>726</v>
      </c>
      <c r="B54" s="102" t="s">
        <v>698</v>
      </c>
      <c r="C54" s="101">
        <v>591</v>
      </c>
    </row>
    <row r="55" spans="1:4" ht="15" thickBot="1" x14ac:dyDescent="0.4">
      <c r="A55" s="100" t="s">
        <v>727</v>
      </c>
      <c r="B55" s="100" t="s">
        <v>698</v>
      </c>
      <c r="C55" s="55">
        <v>950</v>
      </c>
      <c r="D55">
        <f>D11+D14+D33</f>
        <v>74947.109705770505</v>
      </c>
    </row>
    <row r="56" spans="1:4" ht="15" thickBot="1" x14ac:dyDescent="0.4">
      <c r="A56" s="109" t="s">
        <v>728</v>
      </c>
      <c r="B56" s="109"/>
      <c r="C56" s="108">
        <v>760</v>
      </c>
    </row>
    <row r="57" spans="1:4" ht="15" thickBot="1" x14ac:dyDescent="0.4">
      <c r="A57" s="49" t="s">
        <v>729</v>
      </c>
      <c r="B57" s="49" t="s">
        <v>698</v>
      </c>
      <c r="C57" s="52">
        <v>190</v>
      </c>
    </row>
    <row r="58" spans="1:4" ht="15" thickBot="1" x14ac:dyDescent="0.4">
      <c r="A58" s="109" t="s">
        <v>730</v>
      </c>
      <c r="B58" s="102" t="s">
        <v>698</v>
      </c>
      <c r="C58" s="101">
        <v>190</v>
      </c>
    </row>
    <row r="59" spans="1:4" ht="15" thickBot="1" x14ac:dyDescent="0.4">
      <c r="A59" s="49" t="s">
        <v>731</v>
      </c>
      <c r="B59" s="100" t="s">
        <v>698</v>
      </c>
      <c r="C59" s="55">
        <v>0</v>
      </c>
    </row>
    <row r="60" spans="1:4" ht="15" thickBot="1" x14ac:dyDescent="0.4">
      <c r="A60" s="119" t="s">
        <v>732</v>
      </c>
      <c r="B60" s="119" t="s">
        <v>513</v>
      </c>
      <c r="C60" s="123">
        <v>0</v>
      </c>
    </row>
    <row r="61" spans="1:4" ht="15" thickBot="1" x14ac:dyDescent="0.4">
      <c r="A61" s="102" t="s">
        <v>733</v>
      </c>
      <c r="B61" s="102" t="s">
        <v>698</v>
      </c>
      <c r="C61" s="101">
        <v>401</v>
      </c>
    </row>
    <row r="62" spans="1:4" ht="15" thickBot="1" x14ac:dyDescent="0.4">
      <c r="A62" s="119" t="s">
        <v>734</v>
      </c>
      <c r="B62" s="119" t="s">
        <v>702</v>
      </c>
      <c r="C62" s="123">
        <v>89</v>
      </c>
    </row>
    <row r="63" spans="1:4" ht="15" thickBot="1" x14ac:dyDescent="0.4">
      <c r="A63" s="119"/>
      <c r="B63" s="119"/>
      <c r="C63" s="47"/>
    </row>
    <row r="64" spans="1:4" ht="15" thickBot="1" x14ac:dyDescent="0.4">
      <c r="A64" s="119" t="s">
        <v>735</v>
      </c>
      <c r="B64" s="119" t="s">
        <v>513</v>
      </c>
      <c r="C64" s="123">
        <f>SUM(C65:C67)</f>
        <v>0</v>
      </c>
    </row>
    <row r="65" spans="1:3" ht="15" thickBot="1" x14ac:dyDescent="0.4">
      <c r="A65" s="100" t="s">
        <v>520</v>
      </c>
      <c r="B65" s="100" t="s">
        <v>513</v>
      </c>
      <c r="C65" s="55" t="s">
        <v>736</v>
      </c>
    </row>
    <row r="66" spans="1:3" ht="15" thickBot="1" x14ac:dyDescent="0.4">
      <c r="A66" s="100" t="s">
        <v>737</v>
      </c>
      <c r="B66" s="100" t="s">
        <v>513</v>
      </c>
      <c r="C66" s="55" t="s">
        <v>738</v>
      </c>
    </row>
    <row r="67" spans="1:3" ht="15" thickBot="1" x14ac:dyDescent="0.4">
      <c r="A67" s="100" t="s">
        <v>739</v>
      </c>
      <c r="B67" s="100" t="s">
        <v>513</v>
      </c>
      <c r="C67" s="55" t="s">
        <v>711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I39"/>
  <sheetViews>
    <sheetView topLeftCell="A31" workbookViewId="0">
      <selection activeCell="D6" sqref="D6"/>
    </sheetView>
  </sheetViews>
  <sheetFormatPr defaultRowHeight="14.5" x14ac:dyDescent="0.35"/>
  <cols>
    <col min="1" max="1" width="36.26953125" customWidth="1"/>
    <col min="3" max="3" width="11.81640625" bestFit="1" customWidth="1"/>
    <col min="4" max="4" width="12.54296875" customWidth="1"/>
  </cols>
  <sheetData>
    <row r="2" spans="1:7" x14ac:dyDescent="0.35">
      <c r="A2" t="s">
        <v>837</v>
      </c>
    </row>
    <row r="3" spans="1:7" x14ac:dyDescent="0.35">
      <c r="A3" t="s">
        <v>838</v>
      </c>
      <c r="B3" t="s">
        <v>839</v>
      </c>
      <c r="C3">
        <v>214000</v>
      </c>
      <c r="D3">
        <f>(C3/E10)*24</f>
        <v>642</v>
      </c>
      <c r="E3" t="s">
        <v>845</v>
      </c>
    </row>
    <row r="4" spans="1:7" x14ac:dyDescent="0.35">
      <c r="A4" t="s">
        <v>840</v>
      </c>
      <c r="B4" t="s">
        <v>839</v>
      </c>
      <c r="C4">
        <v>500000</v>
      </c>
    </row>
    <row r="7" spans="1:7" x14ac:dyDescent="0.35">
      <c r="A7" s="125" t="s">
        <v>841</v>
      </c>
      <c r="B7" s="146"/>
      <c r="C7" s="147"/>
    </row>
    <row r="8" spans="1:7" x14ac:dyDescent="0.35">
      <c r="A8" s="148" t="s">
        <v>842</v>
      </c>
      <c r="B8" s="148"/>
      <c r="C8" s="149"/>
    </row>
    <row r="9" spans="1:7" x14ac:dyDescent="0.35">
      <c r="A9" s="146" t="s">
        <v>843</v>
      </c>
      <c r="B9" s="150"/>
      <c r="C9" s="151"/>
      <c r="E9">
        <v>24</v>
      </c>
      <c r="F9" t="s">
        <v>859</v>
      </c>
      <c r="G9" t="s">
        <v>857</v>
      </c>
    </row>
    <row r="10" spans="1:7" x14ac:dyDescent="0.35">
      <c r="A10" s="140" t="s">
        <v>844</v>
      </c>
      <c r="B10" s="140" t="s">
        <v>845</v>
      </c>
      <c r="C10" s="144">
        <f>60884.5429326787*24/1000</f>
        <v>1461.2290303842885</v>
      </c>
      <c r="E10">
        <v>8000</v>
      </c>
      <c r="F10" t="s">
        <v>859</v>
      </c>
      <c r="G10" t="s">
        <v>858</v>
      </c>
    </row>
    <row r="11" spans="1:7" x14ac:dyDescent="0.35">
      <c r="A11" s="140" t="s">
        <v>846</v>
      </c>
      <c r="B11" s="140" t="s">
        <v>846</v>
      </c>
      <c r="C11" s="144"/>
    </row>
    <row r="12" spans="1:7" x14ac:dyDescent="0.35">
      <c r="A12" s="140" t="s">
        <v>847</v>
      </c>
      <c r="B12" s="140" t="s">
        <v>839</v>
      </c>
      <c r="C12" s="144">
        <f>C10*8000/24</f>
        <v>487076.34346142953</v>
      </c>
    </row>
    <row r="13" spans="1:7" x14ac:dyDescent="0.35">
      <c r="A13" s="140" t="s">
        <v>848</v>
      </c>
      <c r="B13" s="140" t="s">
        <v>849</v>
      </c>
      <c r="C13" s="144">
        <f>C12*'Background information'!B33</f>
        <v>15189475.770844679</v>
      </c>
    </row>
    <row r="14" spans="1:7" x14ac:dyDescent="0.35">
      <c r="A14" s="140" t="s">
        <v>850</v>
      </c>
      <c r="B14" s="140" t="s">
        <v>851</v>
      </c>
      <c r="C14" s="144">
        <f>'Utilities demand'!C55*8000/1000</f>
        <v>259800.79803646161</v>
      </c>
    </row>
    <row r="15" spans="1:7" x14ac:dyDescent="0.35">
      <c r="A15" s="140" t="s">
        <v>852</v>
      </c>
      <c r="B15" s="140" t="s">
        <v>849</v>
      </c>
      <c r="C15" s="144">
        <f>C13+(C14*3.6)</f>
        <v>16124758.643775942</v>
      </c>
    </row>
    <row r="16" spans="1:7" x14ac:dyDescent="0.35">
      <c r="A16" s="146" t="s">
        <v>853</v>
      </c>
      <c r="B16" s="150"/>
      <c r="C16" s="151"/>
    </row>
    <row r="17" spans="1:9" x14ac:dyDescent="0.35">
      <c r="A17" s="140" t="s">
        <v>748</v>
      </c>
      <c r="B17" s="140" t="s">
        <v>233</v>
      </c>
      <c r="C17" s="145">
        <f>('Demand '!B18*40.9)/C13</f>
        <v>1.5383131289395788E-2</v>
      </c>
      <c r="F17" s="139"/>
      <c r="G17" s="144"/>
    </row>
    <row r="18" spans="1:9" x14ac:dyDescent="0.35">
      <c r="A18" s="140"/>
      <c r="B18" s="140"/>
      <c r="C18" s="152"/>
    </row>
    <row r="19" spans="1:9" x14ac:dyDescent="0.35">
      <c r="A19" s="130"/>
      <c r="B19" s="130"/>
      <c r="C19" s="130"/>
    </row>
    <row r="20" spans="1:9" x14ac:dyDescent="0.35">
      <c r="A20" s="125" t="s">
        <v>854</v>
      </c>
      <c r="B20" s="153"/>
      <c r="C20" s="153"/>
    </row>
    <row r="21" spans="1:9" x14ac:dyDescent="0.35">
      <c r="A21" s="140" t="s">
        <v>244</v>
      </c>
      <c r="B21" s="140" t="s">
        <v>855</v>
      </c>
      <c r="C21" s="140"/>
    </row>
    <row r="22" spans="1:9" x14ac:dyDescent="0.35">
      <c r="A22" s="140"/>
      <c r="B22" s="140"/>
      <c r="C22" s="140"/>
    </row>
    <row r="23" spans="1:9" x14ac:dyDescent="0.35">
      <c r="A23" s="146" t="s">
        <v>856</v>
      </c>
      <c r="B23" s="150"/>
      <c r="C23" s="151"/>
    </row>
    <row r="24" spans="1:9" x14ac:dyDescent="0.35">
      <c r="A24" s="154" t="s">
        <v>748</v>
      </c>
      <c r="B24" s="154" t="s">
        <v>233</v>
      </c>
      <c r="C24" s="134"/>
    </row>
    <row r="25" spans="1:9" x14ac:dyDescent="0.35">
      <c r="A25" s="140"/>
      <c r="B25" s="140"/>
      <c r="C25" s="152"/>
    </row>
    <row r="26" spans="1:9" x14ac:dyDescent="0.35">
      <c r="A26" s="148"/>
      <c r="B26" s="148"/>
      <c r="C26" s="149"/>
    </row>
    <row r="30" spans="1:9" x14ac:dyDescent="0.35">
      <c r="D30" t="s">
        <v>742</v>
      </c>
      <c r="E30" t="s">
        <v>457</v>
      </c>
    </row>
    <row r="31" spans="1:9" x14ac:dyDescent="0.35">
      <c r="A31" t="s">
        <v>741</v>
      </c>
      <c r="B31">
        <v>200</v>
      </c>
      <c r="C31" t="s">
        <v>750</v>
      </c>
      <c r="D31">
        <v>240000</v>
      </c>
      <c r="E31" t="s">
        <v>744</v>
      </c>
    </row>
    <row r="32" spans="1:9" x14ac:dyDescent="0.35">
      <c r="A32" t="s">
        <v>743</v>
      </c>
      <c r="B32">
        <f>B31*((D32/D31)^0.6)</f>
        <v>186.70309383287901</v>
      </c>
      <c r="C32" t="s">
        <v>750</v>
      </c>
      <c r="D32">
        <v>214000</v>
      </c>
      <c r="E32" t="s">
        <v>744</v>
      </c>
      <c r="G32" t="s">
        <v>746</v>
      </c>
      <c r="H32" t="s">
        <v>747</v>
      </c>
      <c r="I32" t="s">
        <v>748</v>
      </c>
    </row>
    <row r="33" spans="1:9" ht="15.5" x14ac:dyDescent="0.35">
      <c r="A33" t="s">
        <v>745</v>
      </c>
      <c r="B33">
        <f>I33/G33</f>
        <v>0.69565217391304346</v>
      </c>
      <c r="D33" t="s">
        <v>749</v>
      </c>
      <c r="F33" s="124"/>
      <c r="G33">
        <v>138</v>
      </c>
      <c r="H33">
        <v>100</v>
      </c>
      <c r="I33">
        <v>96</v>
      </c>
    </row>
    <row r="34" spans="1:9" x14ac:dyDescent="0.35">
      <c r="A34" t="s">
        <v>751</v>
      </c>
      <c r="B34">
        <f>B32*B33</f>
        <v>129.88041310113323</v>
      </c>
      <c r="C34" t="s">
        <v>750</v>
      </c>
      <c r="G34">
        <v>200</v>
      </c>
      <c r="I34">
        <f>I33*(G34/G33)</f>
        <v>139.13043478260869</v>
      </c>
    </row>
    <row r="36" spans="1:9" x14ac:dyDescent="0.35">
      <c r="A36" t="s">
        <v>752</v>
      </c>
    </row>
    <row r="37" spans="1:9" x14ac:dyDescent="0.35">
      <c r="A37" t="s">
        <v>753</v>
      </c>
    </row>
    <row r="38" spans="1:9" x14ac:dyDescent="0.35">
      <c r="A38" t="s">
        <v>754</v>
      </c>
    </row>
    <row r="39" spans="1:9" x14ac:dyDescent="0.35">
      <c r="A39" t="s">
        <v>170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58"/>
  <sheetViews>
    <sheetView topLeftCell="A111" zoomScale="55" zoomScaleNormal="55" workbookViewId="0">
      <selection activeCell="E128" sqref="E128"/>
    </sheetView>
  </sheetViews>
  <sheetFormatPr defaultRowHeight="14.5" x14ac:dyDescent="0.35"/>
  <cols>
    <col min="1" max="1" width="47.90625" customWidth="1"/>
    <col min="2" max="2" width="17" customWidth="1"/>
    <col min="3" max="3" width="29.1796875" customWidth="1"/>
    <col min="4" max="4" width="16.90625" customWidth="1"/>
    <col min="5" max="5" width="37.90625" customWidth="1"/>
    <col min="6" max="6" width="17.26953125" customWidth="1"/>
    <col min="8" max="8" width="15.453125" customWidth="1"/>
    <col min="9" max="9" width="15.08984375" customWidth="1"/>
    <col min="10" max="10" width="16.453125" customWidth="1"/>
    <col min="11" max="11" width="34" customWidth="1"/>
    <col min="12" max="12" width="19" customWidth="1"/>
    <col min="14" max="14" width="16.08984375" customWidth="1"/>
    <col min="16" max="16" width="10.81640625" customWidth="1"/>
    <col min="17" max="17" width="11.453125" customWidth="1"/>
  </cols>
  <sheetData>
    <row r="1" spans="1:23" x14ac:dyDescent="0.35">
      <c r="A1" t="s">
        <v>123</v>
      </c>
    </row>
    <row r="2" spans="1:23" x14ac:dyDescent="0.35">
      <c r="C2" t="s">
        <v>763</v>
      </c>
      <c r="F2" t="s">
        <v>764</v>
      </c>
      <c r="H2" t="s">
        <v>765</v>
      </c>
      <c r="J2" t="s">
        <v>768</v>
      </c>
      <c r="K2" t="s">
        <v>769</v>
      </c>
      <c r="L2" t="s">
        <v>779</v>
      </c>
      <c r="M2" t="s">
        <v>780</v>
      </c>
      <c r="N2" t="s">
        <v>781</v>
      </c>
      <c r="O2" t="s">
        <v>784</v>
      </c>
      <c r="P2" t="s">
        <v>782</v>
      </c>
      <c r="Q2" t="s">
        <v>783</v>
      </c>
      <c r="R2" t="s">
        <v>785</v>
      </c>
      <c r="S2" t="s">
        <v>786</v>
      </c>
      <c r="T2" t="s">
        <v>787</v>
      </c>
    </row>
    <row r="3" spans="1:23" x14ac:dyDescent="0.35">
      <c r="B3" t="s">
        <v>10</v>
      </c>
      <c r="C3" t="s">
        <v>12</v>
      </c>
      <c r="E3">
        <v>0</v>
      </c>
    </row>
    <row r="4" spans="1:23" x14ac:dyDescent="0.35">
      <c r="A4" s="4" t="s">
        <v>39</v>
      </c>
      <c r="B4">
        <v>5</v>
      </c>
      <c r="C4">
        <v>8</v>
      </c>
      <c r="E4">
        <v>1</v>
      </c>
      <c r="F4">
        <v>84.12</v>
      </c>
      <c r="G4" t="s">
        <v>40</v>
      </c>
      <c r="H4">
        <v>0.88239349234799402</v>
      </c>
      <c r="I4" t="s">
        <v>180</v>
      </c>
      <c r="J4">
        <v>332.42095924133099</v>
      </c>
      <c r="K4">
        <f>J4/F4</f>
        <v>3.9517470190362691</v>
      </c>
      <c r="L4">
        <f>K4*B4</f>
        <v>19.758735095181347</v>
      </c>
      <c r="M4">
        <f>K4*C4</f>
        <v>31.613976152290153</v>
      </c>
      <c r="N4">
        <f>K4*E4</f>
        <v>3.9517470190362691</v>
      </c>
      <c r="O4">
        <v>12</v>
      </c>
      <c r="P4">
        <v>1</v>
      </c>
      <c r="Q4">
        <v>8</v>
      </c>
      <c r="R4">
        <f>L4*O4</f>
        <v>237.10482114217615</v>
      </c>
      <c r="S4">
        <f>P4*M4</f>
        <v>31.613976152290153</v>
      </c>
      <c r="T4">
        <f>Q4*N4</f>
        <v>31.613976152290153</v>
      </c>
    </row>
    <row r="5" spans="1:23" x14ac:dyDescent="0.35">
      <c r="A5" s="4" t="s">
        <v>41</v>
      </c>
      <c r="B5">
        <v>5</v>
      </c>
      <c r="C5">
        <v>6</v>
      </c>
      <c r="E5">
        <v>1</v>
      </c>
      <c r="F5">
        <v>82.04</v>
      </c>
      <c r="G5" t="s">
        <v>42</v>
      </c>
      <c r="H5">
        <v>2.1921963325520477</v>
      </c>
      <c r="I5" t="s">
        <v>129</v>
      </c>
      <c r="J5">
        <v>987.93423674399605</v>
      </c>
      <c r="K5">
        <f t="shared" ref="K5:K36" si="0">J5/F5</f>
        <v>12.042104299658654</v>
      </c>
      <c r="L5">
        <f t="shared" ref="L5:L36" si="1">K5*B5</f>
        <v>60.210521498293268</v>
      </c>
      <c r="M5">
        <f t="shared" ref="M5:M36" si="2">K5*C5</f>
        <v>72.252625797951922</v>
      </c>
      <c r="N5">
        <f t="shared" ref="N5:N36" si="3">K5*E5</f>
        <v>12.042104299658654</v>
      </c>
      <c r="O5">
        <v>12</v>
      </c>
      <c r="P5">
        <v>1</v>
      </c>
      <c r="Q5">
        <v>8</v>
      </c>
      <c r="R5">
        <f t="shared" ref="R5:R36" si="4">L5*O5</f>
        <v>722.52625797951919</v>
      </c>
      <c r="S5">
        <f t="shared" ref="S5:S36" si="5">P5*M5</f>
        <v>72.252625797951922</v>
      </c>
      <c r="T5">
        <f t="shared" ref="T5:T36" si="6">Q5*N5</f>
        <v>96.336834397269229</v>
      </c>
    </row>
    <row r="6" spans="1:23" x14ac:dyDescent="0.35">
      <c r="A6" s="4" t="s">
        <v>43</v>
      </c>
      <c r="B6">
        <v>6</v>
      </c>
      <c r="C6">
        <v>8</v>
      </c>
      <c r="E6">
        <v>1</v>
      </c>
      <c r="F6">
        <v>96.12</v>
      </c>
      <c r="G6" t="s">
        <v>44</v>
      </c>
      <c r="H6">
        <v>4.3292430718323454</v>
      </c>
      <c r="I6" t="s">
        <v>131</v>
      </c>
      <c r="J6">
        <v>2003.7512374358701</v>
      </c>
      <c r="K6">
        <f t="shared" si="0"/>
        <v>20.846350784809299</v>
      </c>
      <c r="L6">
        <f t="shared" si="1"/>
        <v>125.07810470885579</v>
      </c>
      <c r="M6">
        <f t="shared" si="2"/>
        <v>166.7708062784744</v>
      </c>
      <c r="N6">
        <f t="shared" si="3"/>
        <v>20.846350784809299</v>
      </c>
      <c r="O6">
        <v>12</v>
      </c>
      <c r="P6">
        <v>1</v>
      </c>
      <c r="Q6">
        <v>8</v>
      </c>
      <c r="R6">
        <f t="shared" si="4"/>
        <v>1500.9372565062695</v>
      </c>
      <c r="S6">
        <f t="shared" si="5"/>
        <v>166.7708062784744</v>
      </c>
      <c r="T6">
        <f t="shared" si="6"/>
        <v>166.7708062784744</v>
      </c>
    </row>
    <row r="7" spans="1:23" x14ac:dyDescent="0.35">
      <c r="A7" s="4" t="s">
        <v>45</v>
      </c>
      <c r="B7">
        <v>6</v>
      </c>
      <c r="C7">
        <v>6</v>
      </c>
      <c r="E7">
        <v>2</v>
      </c>
      <c r="F7">
        <v>110.11</v>
      </c>
      <c r="G7" t="s">
        <v>46</v>
      </c>
      <c r="H7">
        <v>0.92375568730180624</v>
      </c>
      <c r="I7" t="s">
        <v>132</v>
      </c>
      <c r="J7">
        <v>428.040113687597</v>
      </c>
      <c r="K7">
        <f t="shared" si="0"/>
        <v>3.8873863744219146</v>
      </c>
      <c r="L7">
        <f t="shared" si="1"/>
        <v>23.324318246531487</v>
      </c>
      <c r="M7">
        <f t="shared" si="2"/>
        <v>23.324318246531487</v>
      </c>
      <c r="N7">
        <f t="shared" si="3"/>
        <v>7.7747727488438292</v>
      </c>
      <c r="O7">
        <v>12</v>
      </c>
      <c r="P7">
        <v>1</v>
      </c>
      <c r="Q7">
        <v>8</v>
      </c>
      <c r="R7">
        <f t="shared" si="4"/>
        <v>279.89181895837783</v>
      </c>
      <c r="S7">
        <f t="shared" si="5"/>
        <v>23.324318246531487</v>
      </c>
      <c r="T7">
        <f t="shared" si="6"/>
        <v>62.198181990750633</v>
      </c>
    </row>
    <row r="8" spans="1:23" x14ac:dyDescent="0.35">
      <c r="A8" s="4" t="s">
        <v>47</v>
      </c>
      <c r="B8">
        <v>4</v>
      </c>
      <c r="C8">
        <v>6</v>
      </c>
      <c r="E8">
        <v>2</v>
      </c>
      <c r="F8">
        <v>86.09</v>
      </c>
      <c r="G8" t="s">
        <v>48</v>
      </c>
      <c r="H8">
        <v>1.1029918654349926</v>
      </c>
      <c r="I8" t="s">
        <v>133</v>
      </c>
      <c r="J8">
        <v>510.921782159884</v>
      </c>
      <c r="K8">
        <f t="shared" si="0"/>
        <v>5.9347401807397375</v>
      </c>
      <c r="L8">
        <f t="shared" si="1"/>
        <v>23.73896072295895</v>
      </c>
      <c r="M8">
        <f t="shared" si="2"/>
        <v>35.608441084438425</v>
      </c>
      <c r="N8">
        <f t="shared" si="3"/>
        <v>11.869480361479475</v>
      </c>
      <c r="O8">
        <v>12</v>
      </c>
      <c r="P8">
        <v>1</v>
      </c>
      <c r="Q8">
        <v>8</v>
      </c>
      <c r="R8">
        <f t="shared" si="4"/>
        <v>284.8675286755074</v>
      </c>
      <c r="S8">
        <f t="shared" si="5"/>
        <v>35.608441084438425</v>
      </c>
      <c r="T8">
        <f t="shared" si="6"/>
        <v>94.9558428918358</v>
      </c>
    </row>
    <row r="9" spans="1:23" x14ac:dyDescent="0.35">
      <c r="A9" s="4" t="s">
        <v>49</v>
      </c>
      <c r="B9">
        <v>6</v>
      </c>
      <c r="C9">
        <v>10</v>
      </c>
      <c r="E9">
        <v>2</v>
      </c>
      <c r="F9">
        <v>114.14</v>
      </c>
      <c r="G9" t="s">
        <v>50</v>
      </c>
      <c r="H9">
        <v>1.392527230111678</v>
      </c>
      <c r="I9" t="s">
        <v>134</v>
      </c>
      <c r="J9">
        <v>646.81483992899496</v>
      </c>
      <c r="K9">
        <f t="shared" si="0"/>
        <v>5.666855089617969</v>
      </c>
      <c r="L9">
        <f t="shared" si="1"/>
        <v>34.001130537707816</v>
      </c>
      <c r="M9">
        <f t="shared" si="2"/>
        <v>56.668550896179688</v>
      </c>
      <c r="N9">
        <f t="shared" si="3"/>
        <v>11.333710179235938</v>
      </c>
      <c r="O9">
        <v>12</v>
      </c>
      <c r="P9">
        <v>1</v>
      </c>
      <c r="Q9">
        <v>8</v>
      </c>
      <c r="R9">
        <f t="shared" si="4"/>
        <v>408.01356645249382</v>
      </c>
      <c r="S9">
        <f t="shared" si="5"/>
        <v>56.668550896179688</v>
      </c>
      <c r="T9">
        <f t="shared" si="6"/>
        <v>90.669681433887504</v>
      </c>
    </row>
    <row r="10" spans="1:23" x14ac:dyDescent="0.35">
      <c r="A10" s="4" t="s">
        <v>51</v>
      </c>
      <c r="B10">
        <v>6</v>
      </c>
      <c r="C10">
        <v>8</v>
      </c>
      <c r="E10">
        <v>1</v>
      </c>
      <c r="F10">
        <v>96.13</v>
      </c>
      <c r="G10" t="s">
        <v>44</v>
      </c>
      <c r="H10">
        <v>1.7509995863780505</v>
      </c>
      <c r="I10" t="s">
        <v>135</v>
      </c>
      <c r="J10">
        <v>794.36689375048798</v>
      </c>
      <c r="K10">
        <f t="shared" si="0"/>
        <v>8.2634650343335903</v>
      </c>
      <c r="L10">
        <f t="shared" si="1"/>
        <v>49.580790206001538</v>
      </c>
      <c r="M10">
        <f t="shared" si="2"/>
        <v>66.107720274668722</v>
      </c>
      <c r="N10">
        <f t="shared" si="3"/>
        <v>8.2634650343335903</v>
      </c>
      <c r="O10">
        <v>12</v>
      </c>
      <c r="P10">
        <v>1</v>
      </c>
      <c r="Q10">
        <v>8</v>
      </c>
      <c r="R10">
        <f t="shared" si="4"/>
        <v>594.9694824720184</v>
      </c>
      <c r="S10">
        <f t="shared" si="5"/>
        <v>66.107720274668722</v>
      </c>
      <c r="T10">
        <f t="shared" si="6"/>
        <v>66.107720274668722</v>
      </c>
    </row>
    <row r="11" spans="1:23" x14ac:dyDescent="0.35">
      <c r="A11" s="4" t="s">
        <v>52</v>
      </c>
      <c r="B11">
        <v>7</v>
      </c>
      <c r="C11">
        <v>10</v>
      </c>
      <c r="E11">
        <v>1</v>
      </c>
      <c r="F11">
        <v>110.15</v>
      </c>
      <c r="G11" t="s">
        <v>53</v>
      </c>
      <c r="H11">
        <v>0.77209430580449478</v>
      </c>
      <c r="I11" t="s">
        <v>136</v>
      </c>
      <c r="J11">
        <v>358.44561217647401</v>
      </c>
      <c r="K11">
        <f t="shared" si="0"/>
        <v>3.2541589848068453</v>
      </c>
      <c r="L11">
        <f t="shared" si="1"/>
        <v>22.779112893647916</v>
      </c>
      <c r="M11">
        <f t="shared" si="2"/>
        <v>32.541589848068455</v>
      </c>
      <c r="N11">
        <f t="shared" si="3"/>
        <v>3.2541589848068453</v>
      </c>
      <c r="O11">
        <v>12</v>
      </c>
      <c r="P11">
        <v>1</v>
      </c>
      <c r="Q11">
        <v>8</v>
      </c>
      <c r="R11">
        <f t="shared" si="4"/>
        <v>273.34935472377498</v>
      </c>
      <c r="S11">
        <f t="shared" si="5"/>
        <v>32.541589848068455</v>
      </c>
      <c r="T11">
        <f t="shared" si="6"/>
        <v>26.033271878454762</v>
      </c>
      <c r="V11" t="s">
        <v>810</v>
      </c>
    </row>
    <row r="12" spans="1:23" x14ac:dyDescent="0.35">
      <c r="A12" s="4" t="s">
        <v>54</v>
      </c>
      <c r="B12">
        <v>7</v>
      </c>
      <c r="C12">
        <v>10</v>
      </c>
      <c r="E12">
        <v>1</v>
      </c>
      <c r="F12">
        <v>110.15</v>
      </c>
      <c r="G12" t="s">
        <v>53</v>
      </c>
      <c r="H12">
        <v>2.578243485454295</v>
      </c>
      <c r="I12" t="s">
        <v>137</v>
      </c>
      <c r="J12">
        <v>1200.2233298366</v>
      </c>
      <c r="K12">
        <f t="shared" si="0"/>
        <v>10.896262640368588</v>
      </c>
      <c r="L12">
        <f t="shared" si="1"/>
        <v>76.273838482580118</v>
      </c>
      <c r="M12">
        <f t="shared" si="2"/>
        <v>108.96262640368589</v>
      </c>
      <c r="N12">
        <f t="shared" si="3"/>
        <v>10.896262640368588</v>
      </c>
      <c r="O12">
        <v>12</v>
      </c>
      <c r="P12">
        <v>1</v>
      </c>
      <c r="Q12">
        <v>8</v>
      </c>
      <c r="R12">
        <f t="shared" si="4"/>
        <v>915.28606179096141</v>
      </c>
      <c r="S12">
        <f t="shared" si="5"/>
        <v>108.96262640368589</v>
      </c>
      <c r="T12">
        <f t="shared" si="6"/>
        <v>87.170101122948708</v>
      </c>
      <c r="V12" t="s">
        <v>16</v>
      </c>
      <c r="W12">
        <f>(E37+E39)/B37</f>
        <v>0.20257234726688103</v>
      </c>
    </row>
    <row r="13" spans="1:23" x14ac:dyDescent="0.35">
      <c r="A13" s="4" t="s">
        <v>55</v>
      </c>
      <c r="B13">
        <v>6</v>
      </c>
      <c r="C13">
        <v>8</v>
      </c>
      <c r="E13">
        <v>2</v>
      </c>
      <c r="F13">
        <v>112.13</v>
      </c>
      <c r="G13" t="s">
        <v>56</v>
      </c>
      <c r="H13">
        <v>2.9367158417206674</v>
      </c>
      <c r="I13" t="s">
        <v>149</v>
      </c>
      <c r="J13">
        <v>1352.34191914904</v>
      </c>
      <c r="K13">
        <f t="shared" si="0"/>
        <v>12.060482646473201</v>
      </c>
      <c r="L13">
        <f t="shared" si="1"/>
        <v>72.362895878839197</v>
      </c>
      <c r="M13">
        <f t="shared" si="2"/>
        <v>96.483861171785605</v>
      </c>
      <c r="N13">
        <f t="shared" si="3"/>
        <v>24.120965292946401</v>
      </c>
      <c r="O13">
        <v>12</v>
      </c>
      <c r="P13">
        <v>1</v>
      </c>
      <c r="Q13">
        <v>8</v>
      </c>
      <c r="R13">
        <f t="shared" si="4"/>
        <v>868.35475054607036</v>
      </c>
      <c r="S13">
        <f t="shared" si="5"/>
        <v>96.483861171785605</v>
      </c>
      <c r="T13">
        <f t="shared" si="6"/>
        <v>192.96772234357121</v>
      </c>
      <c r="V13" t="s">
        <v>15</v>
      </c>
      <c r="W13">
        <f>(C37+C39)/B37</f>
        <v>1.5305466237942122</v>
      </c>
    </row>
    <row r="14" spans="1:23" x14ac:dyDescent="0.35">
      <c r="A14" s="4" t="s">
        <v>57</v>
      </c>
      <c r="B14">
        <v>7</v>
      </c>
      <c r="C14">
        <v>10</v>
      </c>
      <c r="E14">
        <v>2</v>
      </c>
      <c r="F14">
        <v>126.15300000000001</v>
      </c>
      <c r="G14" t="s">
        <v>58</v>
      </c>
      <c r="H14">
        <v>0.62043292430718333</v>
      </c>
      <c r="I14" t="s">
        <v>139</v>
      </c>
      <c r="J14">
        <v>288.55888136728402</v>
      </c>
      <c r="K14">
        <f t="shared" si="0"/>
        <v>2.2873723285794552</v>
      </c>
      <c r="L14">
        <f t="shared" si="1"/>
        <v>16.011606300056187</v>
      </c>
      <c r="M14">
        <f t="shared" si="2"/>
        <v>22.873723285794551</v>
      </c>
      <c r="N14">
        <f t="shared" si="3"/>
        <v>4.5747446571589103</v>
      </c>
      <c r="O14">
        <v>12</v>
      </c>
      <c r="P14">
        <v>1</v>
      </c>
      <c r="Q14">
        <v>8</v>
      </c>
      <c r="R14">
        <f t="shared" si="4"/>
        <v>192.13927560067424</v>
      </c>
      <c r="S14">
        <f t="shared" si="5"/>
        <v>22.873723285794551</v>
      </c>
      <c r="T14">
        <f t="shared" si="6"/>
        <v>36.597957257271283</v>
      </c>
    </row>
    <row r="15" spans="1:23" x14ac:dyDescent="0.35">
      <c r="A15" s="4" t="s">
        <v>59</v>
      </c>
      <c r="B15">
        <v>9</v>
      </c>
      <c r="C15">
        <v>10</v>
      </c>
      <c r="E15">
        <v>3</v>
      </c>
      <c r="F15">
        <v>166.17599999999999</v>
      </c>
      <c r="G15" t="s">
        <v>60</v>
      </c>
      <c r="H15">
        <v>1.4752516200193027</v>
      </c>
      <c r="I15" t="s">
        <v>140</v>
      </c>
      <c r="J15">
        <v>688.40363517955802</v>
      </c>
      <c r="K15">
        <f t="shared" si="0"/>
        <v>4.1426176775199668</v>
      </c>
      <c r="L15">
        <f t="shared" si="1"/>
        <v>37.283559097679699</v>
      </c>
      <c r="M15">
        <f t="shared" si="2"/>
        <v>41.426176775199664</v>
      </c>
      <c r="N15">
        <f t="shared" si="3"/>
        <v>12.4278530325599</v>
      </c>
      <c r="O15">
        <v>12</v>
      </c>
      <c r="P15">
        <v>1</v>
      </c>
      <c r="Q15">
        <v>8</v>
      </c>
      <c r="R15">
        <f t="shared" si="4"/>
        <v>447.40270917215639</v>
      </c>
      <c r="S15">
        <f t="shared" si="5"/>
        <v>41.426176775199664</v>
      </c>
      <c r="T15">
        <f t="shared" si="6"/>
        <v>99.422824260479203</v>
      </c>
    </row>
    <row r="16" spans="1:23" x14ac:dyDescent="0.35">
      <c r="A16" s="4" t="s">
        <v>61</v>
      </c>
      <c r="B16">
        <v>11</v>
      </c>
      <c r="C16">
        <v>14</v>
      </c>
      <c r="E16">
        <v>4</v>
      </c>
      <c r="F16">
        <v>210.227</v>
      </c>
      <c r="G16" t="s">
        <v>62</v>
      </c>
      <c r="H16">
        <v>1.6269130015166138</v>
      </c>
      <c r="I16" t="s">
        <v>141</v>
      </c>
      <c r="J16">
        <v>759.17565104109701</v>
      </c>
      <c r="K16">
        <f t="shared" si="0"/>
        <v>3.6112185924790681</v>
      </c>
      <c r="L16">
        <f t="shared" si="1"/>
        <v>39.723404517269749</v>
      </c>
      <c r="M16">
        <f t="shared" si="2"/>
        <v>50.55706029470695</v>
      </c>
      <c r="N16">
        <f t="shared" si="3"/>
        <v>14.444874369916272</v>
      </c>
      <c r="O16">
        <v>12</v>
      </c>
      <c r="P16">
        <v>1</v>
      </c>
      <c r="Q16">
        <v>8</v>
      </c>
      <c r="R16">
        <f t="shared" si="4"/>
        <v>476.68085420723696</v>
      </c>
      <c r="S16">
        <f t="shared" si="5"/>
        <v>50.55706029470695</v>
      </c>
      <c r="T16">
        <f t="shared" si="6"/>
        <v>115.55899495933018</v>
      </c>
      <c r="V16" t="s">
        <v>806</v>
      </c>
    </row>
    <row r="17" spans="1:23" x14ac:dyDescent="0.35">
      <c r="A17" s="4" t="s">
        <v>63</v>
      </c>
      <c r="B17">
        <v>18</v>
      </c>
      <c r="C17">
        <v>34</v>
      </c>
      <c r="E17">
        <v>2</v>
      </c>
      <c r="F17">
        <v>282.45999999999998</v>
      </c>
      <c r="G17" t="s">
        <v>64</v>
      </c>
      <c r="H17">
        <v>1.971597959465049</v>
      </c>
      <c r="I17" t="s">
        <v>142</v>
      </c>
      <c r="J17">
        <v>920.01797856522103</v>
      </c>
      <c r="K17">
        <f t="shared" si="0"/>
        <v>3.2571620001600974</v>
      </c>
      <c r="L17">
        <f t="shared" si="1"/>
        <v>58.628916002881752</v>
      </c>
      <c r="M17">
        <f t="shared" si="2"/>
        <v>110.74350800544332</v>
      </c>
      <c r="N17">
        <f t="shared" si="3"/>
        <v>6.5143240003201948</v>
      </c>
      <c r="O17">
        <v>12</v>
      </c>
      <c r="P17">
        <v>1</v>
      </c>
      <c r="Q17">
        <v>8</v>
      </c>
      <c r="R17">
        <f t="shared" si="4"/>
        <v>703.54699203458108</v>
      </c>
      <c r="S17">
        <f t="shared" si="5"/>
        <v>110.74350800544332</v>
      </c>
      <c r="T17">
        <f t="shared" si="6"/>
        <v>52.114592002561558</v>
      </c>
      <c r="V17" t="s">
        <v>16</v>
      </c>
      <c r="W17">
        <f>N37/L37</f>
        <v>0.25069169450437223</v>
      </c>
    </row>
    <row r="18" spans="1:23" x14ac:dyDescent="0.35">
      <c r="A18" s="4" t="s">
        <v>65</v>
      </c>
      <c r="B18">
        <v>6</v>
      </c>
      <c r="C18">
        <v>6</v>
      </c>
      <c r="E18">
        <v>1</v>
      </c>
      <c r="F18">
        <v>94</v>
      </c>
      <c r="G18" t="s">
        <v>66</v>
      </c>
      <c r="H18">
        <v>1.6682751964704261</v>
      </c>
      <c r="I18" t="s">
        <v>143</v>
      </c>
      <c r="J18">
        <v>769.25820616101203</v>
      </c>
      <c r="K18">
        <f t="shared" si="0"/>
        <v>8.183597937883107</v>
      </c>
      <c r="L18">
        <f t="shared" si="1"/>
        <v>49.101587627298642</v>
      </c>
      <c r="M18">
        <f t="shared" si="2"/>
        <v>49.101587627298642</v>
      </c>
      <c r="N18">
        <f t="shared" si="3"/>
        <v>8.183597937883107</v>
      </c>
      <c r="O18">
        <v>12</v>
      </c>
      <c r="P18">
        <v>1</v>
      </c>
      <c r="Q18">
        <v>8</v>
      </c>
      <c r="R18">
        <f t="shared" si="4"/>
        <v>589.2190515275837</v>
      </c>
      <c r="S18">
        <f t="shared" si="5"/>
        <v>49.101587627298642</v>
      </c>
      <c r="T18">
        <f t="shared" si="6"/>
        <v>65.468783503064856</v>
      </c>
      <c r="V18" t="s">
        <v>15</v>
      </c>
      <c r="W18">
        <f>M37/L37</f>
        <v>1.3659434808043132</v>
      </c>
    </row>
    <row r="19" spans="1:23" x14ac:dyDescent="0.35">
      <c r="A19" s="4" t="s">
        <v>67</v>
      </c>
      <c r="B19">
        <v>7</v>
      </c>
      <c r="C19">
        <v>8</v>
      </c>
      <c r="E19">
        <v>1</v>
      </c>
      <c r="F19">
        <v>108.14</v>
      </c>
      <c r="G19" t="s">
        <v>68</v>
      </c>
      <c r="H19">
        <v>1.158141458706742</v>
      </c>
      <c r="I19" t="s">
        <v>144</v>
      </c>
      <c r="J19">
        <v>537.06900693476302</v>
      </c>
      <c r="K19">
        <f t="shared" si="0"/>
        <v>4.9664232192968658</v>
      </c>
      <c r="L19">
        <f t="shared" si="1"/>
        <v>34.764962535078062</v>
      </c>
      <c r="M19">
        <f t="shared" si="2"/>
        <v>39.731385754374926</v>
      </c>
      <c r="N19">
        <f t="shared" si="3"/>
        <v>4.9664232192968658</v>
      </c>
      <c r="O19">
        <v>12</v>
      </c>
      <c r="P19">
        <v>1</v>
      </c>
      <c r="Q19">
        <v>8</v>
      </c>
      <c r="R19">
        <f t="shared" si="4"/>
        <v>417.17955042093672</v>
      </c>
      <c r="S19">
        <f t="shared" si="5"/>
        <v>39.731385754374926</v>
      </c>
      <c r="T19">
        <f t="shared" si="6"/>
        <v>39.731385754374926</v>
      </c>
    </row>
    <row r="20" spans="1:23" x14ac:dyDescent="0.35">
      <c r="A20" s="4" t="s">
        <v>69</v>
      </c>
      <c r="B20">
        <v>7</v>
      </c>
      <c r="C20">
        <v>8</v>
      </c>
      <c r="E20">
        <v>2</v>
      </c>
      <c r="F20">
        <v>124.14</v>
      </c>
      <c r="G20" t="s">
        <v>70</v>
      </c>
      <c r="H20">
        <v>20.612160485316423</v>
      </c>
      <c r="I20" t="s">
        <v>145</v>
      </c>
      <c r="J20">
        <v>9609.5715626981291</v>
      </c>
      <c r="K20">
        <f t="shared" si="0"/>
        <v>77.409147435944334</v>
      </c>
      <c r="L20">
        <f t="shared" si="1"/>
        <v>541.86403205161037</v>
      </c>
      <c r="M20">
        <f t="shared" si="2"/>
        <v>619.27317948755467</v>
      </c>
      <c r="N20">
        <f t="shared" si="3"/>
        <v>154.81829487188867</v>
      </c>
      <c r="O20">
        <v>12</v>
      </c>
      <c r="P20">
        <v>1</v>
      </c>
      <c r="Q20">
        <v>8</v>
      </c>
      <c r="R20">
        <f t="shared" si="4"/>
        <v>6502.3683846193244</v>
      </c>
      <c r="S20">
        <f t="shared" si="5"/>
        <v>619.27317948755467</v>
      </c>
      <c r="T20">
        <f t="shared" si="6"/>
        <v>1238.5463589751093</v>
      </c>
    </row>
    <row r="21" spans="1:23" x14ac:dyDescent="0.35">
      <c r="A21" s="4" t="s">
        <v>71</v>
      </c>
      <c r="B21">
        <v>8</v>
      </c>
      <c r="C21">
        <v>10</v>
      </c>
      <c r="E21">
        <v>1</v>
      </c>
      <c r="F21">
        <v>122.16</v>
      </c>
      <c r="G21" t="s">
        <v>72</v>
      </c>
      <c r="H21">
        <v>0.62043292430718333</v>
      </c>
      <c r="I21" t="s">
        <v>146</v>
      </c>
      <c r="J21">
        <v>289.42117887952401</v>
      </c>
      <c r="K21">
        <f t="shared" si="0"/>
        <v>2.3691976005200068</v>
      </c>
      <c r="L21">
        <f t="shared" si="1"/>
        <v>18.953580804160055</v>
      </c>
      <c r="M21">
        <f t="shared" si="2"/>
        <v>23.691976005200068</v>
      </c>
      <c r="N21">
        <f t="shared" si="3"/>
        <v>2.3691976005200068</v>
      </c>
      <c r="O21">
        <v>12</v>
      </c>
      <c r="P21">
        <v>1</v>
      </c>
      <c r="Q21">
        <v>8</v>
      </c>
      <c r="R21">
        <f t="shared" si="4"/>
        <v>227.44296964992066</v>
      </c>
      <c r="S21">
        <f t="shared" si="5"/>
        <v>23.691976005200068</v>
      </c>
      <c r="T21">
        <f t="shared" si="6"/>
        <v>18.953580804160055</v>
      </c>
    </row>
    <row r="22" spans="1:23" x14ac:dyDescent="0.35">
      <c r="A22" s="4" t="s">
        <v>73</v>
      </c>
      <c r="B22">
        <v>8</v>
      </c>
      <c r="C22">
        <v>10</v>
      </c>
      <c r="E22">
        <v>2</v>
      </c>
      <c r="F22">
        <v>138.16</v>
      </c>
      <c r="G22" t="s">
        <v>74</v>
      </c>
      <c r="H22">
        <v>3.2676134013511655</v>
      </c>
      <c r="I22" t="s">
        <v>147</v>
      </c>
      <c r="J22">
        <v>1524.3136953118701</v>
      </c>
      <c r="K22">
        <f t="shared" si="0"/>
        <v>11.032959578111393</v>
      </c>
      <c r="L22">
        <f t="shared" si="1"/>
        <v>88.263676624891147</v>
      </c>
      <c r="M22">
        <f t="shared" si="2"/>
        <v>110.32959578111394</v>
      </c>
      <c r="N22">
        <f t="shared" si="3"/>
        <v>22.065919156222787</v>
      </c>
      <c r="O22">
        <v>12</v>
      </c>
      <c r="P22">
        <v>1</v>
      </c>
      <c r="Q22">
        <v>8</v>
      </c>
      <c r="R22">
        <f t="shared" si="4"/>
        <v>1059.1641194986937</v>
      </c>
      <c r="S22">
        <f t="shared" si="5"/>
        <v>110.32959578111394</v>
      </c>
      <c r="T22">
        <f t="shared" si="6"/>
        <v>176.52735324978229</v>
      </c>
    </row>
    <row r="23" spans="1:23" x14ac:dyDescent="0.35">
      <c r="A23" s="4" t="s">
        <v>75</v>
      </c>
      <c r="B23">
        <v>6</v>
      </c>
      <c r="C23">
        <v>6</v>
      </c>
      <c r="E23">
        <v>2</v>
      </c>
      <c r="F23">
        <v>110.1</v>
      </c>
      <c r="G23" t="s">
        <v>46</v>
      </c>
      <c r="H23">
        <v>2.2749207224596719</v>
      </c>
      <c r="I23" t="s">
        <v>148</v>
      </c>
      <c r="J23">
        <v>1061.4151374349899</v>
      </c>
      <c r="K23">
        <f t="shared" si="0"/>
        <v>9.6404644635330605</v>
      </c>
      <c r="L23">
        <f t="shared" si="1"/>
        <v>57.842786781198363</v>
      </c>
      <c r="M23">
        <f t="shared" si="2"/>
        <v>57.842786781198363</v>
      </c>
      <c r="N23">
        <f t="shared" si="3"/>
        <v>19.280928927066121</v>
      </c>
      <c r="O23">
        <v>12</v>
      </c>
      <c r="P23">
        <v>1</v>
      </c>
      <c r="Q23">
        <v>8</v>
      </c>
      <c r="R23">
        <f t="shared" si="4"/>
        <v>694.11344137438039</v>
      </c>
      <c r="S23">
        <f t="shared" si="5"/>
        <v>57.842786781198363</v>
      </c>
      <c r="T23">
        <f t="shared" si="6"/>
        <v>154.24743141652897</v>
      </c>
    </row>
    <row r="24" spans="1:23" x14ac:dyDescent="0.35">
      <c r="A24" s="4" t="s">
        <v>76</v>
      </c>
      <c r="B24">
        <v>7</v>
      </c>
      <c r="C24">
        <v>8</v>
      </c>
      <c r="E24">
        <v>3</v>
      </c>
      <c r="F24">
        <v>140.13659999999999</v>
      </c>
      <c r="G24" t="s">
        <v>77</v>
      </c>
      <c r="H24">
        <v>4.6049910381910939</v>
      </c>
      <c r="I24" t="s">
        <v>150</v>
      </c>
      <c r="J24">
        <v>2147.2200958547</v>
      </c>
      <c r="K24">
        <f t="shared" si="0"/>
        <v>15.322336176664058</v>
      </c>
      <c r="L24">
        <f t="shared" si="1"/>
        <v>107.25635323664841</v>
      </c>
      <c r="M24">
        <f t="shared" si="2"/>
        <v>122.57868941331246</v>
      </c>
      <c r="N24">
        <f t="shared" si="3"/>
        <v>45.967008529992171</v>
      </c>
      <c r="O24">
        <v>12</v>
      </c>
      <c r="P24">
        <v>1</v>
      </c>
      <c r="Q24">
        <v>8</v>
      </c>
      <c r="R24">
        <f t="shared" si="4"/>
        <v>1287.0762388397809</v>
      </c>
      <c r="S24">
        <f t="shared" si="5"/>
        <v>122.57868941331246</v>
      </c>
      <c r="T24">
        <f t="shared" si="6"/>
        <v>367.73606823993737</v>
      </c>
      <c r="V24" t="s">
        <v>15</v>
      </c>
    </row>
    <row r="25" spans="1:23" x14ac:dyDescent="0.35">
      <c r="A25" s="4" t="s">
        <v>78</v>
      </c>
      <c r="B25">
        <v>7</v>
      </c>
      <c r="C25">
        <v>8</v>
      </c>
      <c r="E25">
        <v>2</v>
      </c>
      <c r="F25">
        <v>124.13720000000001</v>
      </c>
      <c r="G25" t="s">
        <v>70</v>
      </c>
      <c r="H25">
        <v>0.5652833310354336</v>
      </c>
      <c r="I25" t="s">
        <v>181</v>
      </c>
      <c r="J25">
        <v>263.771412078548</v>
      </c>
      <c r="K25">
        <f t="shared" si="0"/>
        <v>2.124837776899656</v>
      </c>
      <c r="L25">
        <f t="shared" si="1"/>
        <v>14.873864438297591</v>
      </c>
      <c r="M25">
        <f t="shared" si="2"/>
        <v>16.998702215197248</v>
      </c>
      <c r="N25">
        <f t="shared" si="3"/>
        <v>4.2496755537993121</v>
      </c>
      <c r="O25">
        <v>12</v>
      </c>
      <c r="P25">
        <v>1</v>
      </c>
      <c r="Q25">
        <v>8</v>
      </c>
      <c r="R25">
        <f t="shared" si="4"/>
        <v>178.48637325957111</v>
      </c>
      <c r="S25">
        <f t="shared" si="5"/>
        <v>16.998702215197248</v>
      </c>
      <c r="T25">
        <f t="shared" si="6"/>
        <v>33.997404430394496</v>
      </c>
      <c r="V25">
        <f>(S37+S39)/R37</f>
        <v>0.13464519058038857</v>
      </c>
      <c r="W25" t="s">
        <v>807</v>
      </c>
    </row>
    <row r="26" spans="1:23" x14ac:dyDescent="0.35">
      <c r="A26" s="4" t="s">
        <v>79</v>
      </c>
      <c r="B26">
        <v>9</v>
      </c>
      <c r="C26">
        <v>12</v>
      </c>
      <c r="E26">
        <v>2</v>
      </c>
      <c r="F26">
        <v>152.19</v>
      </c>
      <c r="G26" t="s">
        <v>80</v>
      </c>
      <c r="H26">
        <v>3.9018337239762859</v>
      </c>
      <c r="I26" t="s">
        <v>182</v>
      </c>
      <c r="J26">
        <v>1820.57606987133</v>
      </c>
      <c r="K26">
        <f t="shared" si="0"/>
        <v>11.962520992649518</v>
      </c>
      <c r="L26">
        <f t="shared" si="1"/>
        <v>107.66268893384566</v>
      </c>
      <c r="M26">
        <f t="shared" si="2"/>
        <v>143.55025191179422</v>
      </c>
      <c r="N26">
        <f t="shared" si="3"/>
        <v>23.925041985299035</v>
      </c>
      <c r="O26">
        <v>12</v>
      </c>
      <c r="P26">
        <v>1</v>
      </c>
      <c r="Q26">
        <v>8</v>
      </c>
      <c r="R26">
        <f t="shared" si="4"/>
        <v>1291.952267206148</v>
      </c>
      <c r="S26">
        <f t="shared" si="5"/>
        <v>143.55025191179422</v>
      </c>
      <c r="T26">
        <f t="shared" si="6"/>
        <v>191.40033588239228</v>
      </c>
      <c r="V26">
        <f>(M37+M39)/L37</f>
        <v>1.6157422869646629</v>
      </c>
      <c r="W26" t="s">
        <v>809</v>
      </c>
    </row>
    <row r="27" spans="1:23" x14ac:dyDescent="0.35">
      <c r="A27" s="4" t="s">
        <v>81</v>
      </c>
      <c r="B27">
        <v>7</v>
      </c>
      <c r="C27">
        <v>8</v>
      </c>
      <c r="E27">
        <v>2</v>
      </c>
      <c r="F27">
        <v>124.13720000000001</v>
      </c>
      <c r="G27" t="s">
        <v>70</v>
      </c>
      <c r="H27">
        <v>0.82724389907624429</v>
      </c>
      <c r="I27" t="s">
        <v>183</v>
      </c>
      <c r="J27">
        <v>386.00060755605898</v>
      </c>
      <c r="K27">
        <f t="shared" si="0"/>
        <v>3.1094676499555245</v>
      </c>
      <c r="L27">
        <f t="shared" si="1"/>
        <v>21.76627354968867</v>
      </c>
      <c r="M27">
        <f t="shared" si="2"/>
        <v>24.875741199644196</v>
      </c>
      <c r="N27">
        <f t="shared" si="3"/>
        <v>6.218935299911049</v>
      </c>
      <c r="O27">
        <v>12</v>
      </c>
      <c r="P27">
        <v>1</v>
      </c>
      <c r="Q27">
        <v>8</v>
      </c>
      <c r="R27">
        <f t="shared" si="4"/>
        <v>261.19528259626406</v>
      </c>
      <c r="S27">
        <f t="shared" si="5"/>
        <v>24.875741199644196</v>
      </c>
      <c r="T27">
        <f t="shared" si="6"/>
        <v>49.751482399288392</v>
      </c>
    </row>
    <row r="28" spans="1:23" x14ac:dyDescent="0.35">
      <c r="A28" s="4" t="s">
        <v>82</v>
      </c>
      <c r="B28">
        <v>8</v>
      </c>
      <c r="C28">
        <v>10</v>
      </c>
      <c r="E28">
        <v>3</v>
      </c>
      <c r="F28">
        <v>154.16</v>
      </c>
      <c r="G28" t="s">
        <v>83</v>
      </c>
      <c r="H28">
        <v>17.248035295739694</v>
      </c>
      <c r="I28" t="s">
        <v>153</v>
      </c>
      <c r="J28">
        <v>8041.8754333733496</v>
      </c>
      <c r="K28">
        <f t="shared" si="0"/>
        <v>52.165772141757586</v>
      </c>
      <c r="L28">
        <f t="shared" si="1"/>
        <v>417.32617713406069</v>
      </c>
      <c r="M28">
        <f t="shared" si="2"/>
        <v>521.65772141757589</v>
      </c>
      <c r="N28">
        <f t="shared" si="3"/>
        <v>156.49731642527274</v>
      </c>
      <c r="O28">
        <v>12</v>
      </c>
      <c r="P28">
        <v>1</v>
      </c>
      <c r="Q28">
        <v>8</v>
      </c>
      <c r="R28">
        <f t="shared" si="4"/>
        <v>5007.9141256087278</v>
      </c>
      <c r="S28">
        <f t="shared" si="5"/>
        <v>521.65772141757589</v>
      </c>
      <c r="T28">
        <f t="shared" si="6"/>
        <v>1251.9785314021819</v>
      </c>
    </row>
    <row r="29" spans="1:23" x14ac:dyDescent="0.35">
      <c r="A29" s="4" t="s">
        <v>84</v>
      </c>
      <c r="B29">
        <v>10</v>
      </c>
      <c r="C29">
        <v>12</v>
      </c>
      <c r="E29">
        <v>2</v>
      </c>
      <c r="F29">
        <v>164.2</v>
      </c>
      <c r="G29" t="s">
        <v>85</v>
      </c>
      <c r="H29">
        <v>0.96511788225561834</v>
      </c>
      <c r="I29" s="14" t="s">
        <v>184</v>
      </c>
      <c r="J29">
        <v>450.320899357136</v>
      </c>
      <c r="K29">
        <f t="shared" si="0"/>
        <v>2.7425146124064312</v>
      </c>
      <c r="L29">
        <f t="shared" si="1"/>
        <v>27.425146124064312</v>
      </c>
      <c r="M29">
        <f t="shared" si="2"/>
        <v>32.910175348877175</v>
      </c>
      <c r="N29">
        <f t="shared" si="3"/>
        <v>5.4850292248128625</v>
      </c>
      <c r="O29">
        <v>12</v>
      </c>
      <c r="P29">
        <v>1</v>
      </c>
      <c r="Q29">
        <v>8</v>
      </c>
      <c r="R29">
        <f t="shared" si="4"/>
        <v>329.10175348877175</v>
      </c>
      <c r="S29">
        <f t="shared" si="5"/>
        <v>32.910175348877175</v>
      </c>
      <c r="T29">
        <f t="shared" si="6"/>
        <v>43.8802337985029</v>
      </c>
    </row>
    <row r="30" spans="1:23" x14ac:dyDescent="0.35">
      <c r="A30" s="4" t="s">
        <v>86</v>
      </c>
      <c r="B30">
        <v>10</v>
      </c>
      <c r="C30">
        <v>14</v>
      </c>
      <c r="E30">
        <v>2</v>
      </c>
      <c r="F30">
        <v>166.21700000000001</v>
      </c>
      <c r="G30" t="s">
        <v>87</v>
      </c>
      <c r="H30">
        <v>2.3438577140493591</v>
      </c>
      <c r="I30" t="s">
        <v>185</v>
      </c>
      <c r="J30">
        <v>1093.70355273583</v>
      </c>
      <c r="K30">
        <f t="shared" si="0"/>
        <v>6.579974086500358</v>
      </c>
      <c r="L30">
        <f t="shared" si="1"/>
        <v>65.799740865003585</v>
      </c>
      <c r="M30">
        <f t="shared" si="2"/>
        <v>92.119637211005013</v>
      </c>
      <c r="N30">
        <f t="shared" si="3"/>
        <v>13.159948173000716</v>
      </c>
      <c r="O30">
        <v>12</v>
      </c>
      <c r="P30">
        <v>1</v>
      </c>
      <c r="Q30">
        <v>8</v>
      </c>
      <c r="R30">
        <f t="shared" si="4"/>
        <v>789.59689038004308</v>
      </c>
      <c r="S30">
        <f t="shared" si="5"/>
        <v>92.119637211005013</v>
      </c>
      <c r="T30">
        <f t="shared" si="6"/>
        <v>105.27958538400573</v>
      </c>
      <c r="V30" t="s">
        <v>16</v>
      </c>
      <c r="W30" t="s">
        <v>803</v>
      </c>
    </row>
    <row r="31" spans="1:23" x14ac:dyDescent="0.35">
      <c r="A31" s="4" t="s">
        <v>88</v>
      </c>
      <c r="B31">
        <v>16</v>
      </c>
      <c r="C31">
        <v>32</v>
      </c>
      <c r="E31">
        <v>2</v>
      </c>
      <c r="F31">
        <v>256.39999999999998</v>
      </c>
      <c r="G31" t="s">
        <v>89</v>
      </c>
      <c r="H31">
        <v>0.38604715290224739</v>
      </c>
      <c r="I31" t="s">
        <v>156</v>
      </c>
      <c r="J31">
        <v>176.926533544732</v>
      </c>
      <c r="K31">
        <f t="shared" si="0"/>
        <v>0.69004108246775353</v>
      </c>
      <c r="L31">
        <f t="shared" si="1"/>
        <v>11.040657319484056</v>
      </c>
      <c r="M31">
        <f t="shared" si="2"/>
        <v>22.081314638968113</v>
      </c>
      <c r="N31">
        <f t="shared" si="3"/>
        <v>1.3800821649355071</v>
      </c>
      <c r="O31">
        <v>12</v>
      </c>
      <c r="P31">
        <v>1</v>
      </c>
      <c r="Q31">
        <v>8</v>
      </c>
      <c r="R31">
        <f t="shared" si="4"/>
        <v>132.48788783380868</v>
      </c>
      <c r="S31">
        <f t="shared" si="5"/>
        <v>22.081314638968113</v>
      </c>
      <c r="T31">
        <f t="shared" si="6"/>
        <v>11.040657319484056</v>
      </c>
      <c r="V31">
        <f>T37/R37</f>
        <v>0.16712779633624816</v>
      </c>
      <c r="W31">
        <f>V31/0.7253</f>
        <v>0.23042574980869734</v>
      </c>
    </row>
    <row r="32" spans="1:23" x14ac:dyDescent="0.35">
      <c r="A32" s="4" t="s">
        <v>90</v>
      </c>
      <c r="B32">
        <v>18</v>
      </c>
      <c r="C32">
        <v>34</v>
      </c>
      <c r="E32">
        <v>2</v>
      </c>
      <c r="F32">
        <v>282.45999999999998</v>
      </c>
      <c r="G32" t="s">
        <v>64</v>
      </c>
      <c r="H32">
        <v>0.5652833310354336</v>
      </c>
      <c r="I32" t="s">
        <v>186</v>
      </c>
      <c r="J32">
        <v>257.34768631194999</v>
      </c>
      <c r="K32">
        <f t="shared" si="0"/>
        <v>0.9110942657790484</v>
      </c>
      <c r="L32">
        <f t="shared" si="1"/>
        <v>16.399696784022872</v>
      </c>
      <c r="M32">
        <f t="shared" si="2"/>
        <v>30.977205036487646</v>
      </c>
      <c r="N32">
        <f t="shared" si="3"/>
        <v>1.8221885315580968</v>
      </c>
      <c r="O32">
        <v>12</v>
      </c>
      <c r="P32">
        <v>1</v>
      </c>
      <c r="Q32">
        <v>8</v>
      </c>
      <c r="R32">
        <f t="shared" si="4"/>
        <v>196.79636140827446</v>
      </c>
      <c r="S32">
        <f t="shared" si="5"/>
        <v>30.977205036487646</v>
      </c>
      <c r="T32">
        <f t="shared" si="6"/>
        <v>14.577508252464774</v>
      </c>
    </row>
    <row r="33" spans="1:27" x14ac:dyDescent="0.35">
      <c r="A33" s="4" t="s">
        <v>91</v>
      </c>
      <c r="B33">
        <v>17</v>
      </c>
      <c r="C33">
        <v>34</v>
      </c>
      <c r="E33">
        <v>2</v>
      </c>
      <c r="F33">
        <v>270.45</v>
      </c>
      <c r="G33" t="s">
        <v>92</v>
      </c>
      <c r="H33">
        <v>3.0608024265821046</v>
      </c>
      <c r="I33" t="s">
        <v>158</v>
      </c>
      <c r="J33">
        <v>1428.27844166557</v>
      </c>
      <c r="K33">
        <f t="shared" si="0"/>
        <v>5.2811182904994274</v>
      </c>
      <c r="L33">
        <f t="shared" si="1"/>
        <v>89.779010938490259</v>
      </c>
      <c r="M33">
        <f t="shared" si="2"/>
        <v>179.55802187698052</v>
      </c>
      <c r="N33">
        <f t="shared" si="3"/>
        <v>10.562236580998855</v>
      </c>
      <c r="O33">
        <v>12</v>
      </c>
      <c r="P33">
        <v>1</v>
      </c>
      <c r="Q33">
        <v>8</v>
      </c>
      <c r="R33">
        <f t="shared" si="4"/>
        <v>1077.3481312618831</v>
      </c>
      <c r="S33">
        <f t="shared" si="5"/>
        <v>179.55802187698052</v>
      </c>
      <c r="T33">
        <f t="shared" si="6"/>
        <v>84.497892647990838</v>
      </c>
      <c r="V33">
        <f>(T37+T39)/R37</f>
        <v>0.25039406505636475</v>
      </c>
    </row>
    <row r="34" spans="1:27" x14ac:dyDescent="0.35">
      <c r="A34" s="4" t="s">
        <v>93</v>
      </c>
      <c r="B34">
        <v>19</v>
      </c>
      <c r="C34">
        <v>34</v>
      </c>
      <c r="E34">
        <v>2</v>
      </c>
      <c r="F34">
        <v>294.5</v>
      </c>
      <c r="G34" t="s">
        <v>94</v>
      </c>
      <c r="H34">
        <v>0.59285812767130841</v>
      </c>
      <c r="I34" t="s">
        <v>160</v>
      </c>
      <c r="J34">
        <v>273.43185219116799</v>
      </c>
      <c r="K34">
        <f t="shared" si="0"/>
        <v>0.92846129776287945</v>
      </c>
      <c r="L34">
        <f t="shared" si="1"/>
        <v>17.64076465749471</v>
      </c>
      <c r="M34">
        <f t="shared" si="2"/>
        <v>31.567684123937902</v>
      </c>
      <c r="N34">
        <f t="shared" si="3"/>
        <v>1.8569225955257589</v>
      </c>
      <c r="O34">
        <v>12</v>
      </c>
      <c r="P34">
        <v>1</v>
      </c>
      <c r="Q34">
        <v>8</v>
      </c>
      <c r="R34">
        <f t="shared" si="4"/>
        <v>211.68917588993651</v>
      </c>
      <c r="S34">
        <f t="shared" si="5"/>
        <v>31.567684123937902</v>
      </c>
      <c r="T34">
        <f t="shared" si="6"/>
        <v>14.855380764206071</v>
      </c>
    </row>
    <row r="35" spans="1:27" x14ac:dyDescent="0.35">
      <c r="A35" s="4" t="s">
        <v>95</v>
      </c>
      <c r="B35">
        <v>19</v>
      </c>
      <c r="C35">
        <v>36</v>
      </c>
      <c r="E35">
        <v>2</v>
      </c>
      <c r="F35">
        <v>296.5</v>
      </c>
      <c r="G35" t="s">
        <v>96</v>
      </c>
      <c r="H35">
        <v>8.0242658210395703</v>
      </c>
      <c r="I35" t="s">
        <v>187</v>
      </c>
      <c r="J35">
        <v>3742.8000573736799</v>
      </c>
      <c r="K35">
        <f t="shared" si="0"/>
        <v>12.623271694346307</v>
      </c>
      <c r="L35">
        <f t="shared" si="1"/>
        <v>239.84216219257985</v>
      </c>
      <c r="M35">
        <f t="shared" si="2"/>
        <v>454.43778099646704</v>
      </c>
      <c r="N35">
        <f t="shared" si="3"/>
        <v>25.246543388692615</v>
      </c>
      <c r="O35">
        <v>12</v>
      </c>
      <c r="P35">
        <v>1</v>
      </c>
      <c r="Q35">
        <v>8</v>
      </c>
      <c r="R35">
        <f t="shared" si="4"/>
        <v>2878.1059463109582</v>
      </c>
      <c r="S35">
        <f t="shared" si="5"/>
        <v>454.43778099646704</v>
      </c>
      <c r="T35">
        <f t="shared" si="6"/>
        <v>201.97234710954092</v>
      </c>
    </row>
    <row r="36" spans="1:27" x14ac:dyDescent="0.35">
      <c r="A36" s="4" t="s">
        <v>97</v>
      </c>
      <c r="B36">
        <v>19</v>
      </c>
      <c r="C36">
        <v>36</v>
      </c>
      <c r="E36">
        <v>2</v>
      </c>
      <c r="F36">
        <v>296.5</v>
      </c>
      <c r="G36" t="s">
        <v>96</v>
      </c>
      <c r="H36">
        <v>2.7574796635874814</v>
      </c>
      <c r="I36" t="s">
        <v>188</v>
      </c>
      <c r="J36">
        <v>1286.73830936783</v>
      </c>
      <c r="K36">
        <f t="shared" si="0"/>
        <v>4.3397582103468126</v>
      </c>
      <c r="L36">
        <f t="shared" si="1"/>
        <v>82.455405996589434</v>
      </c>
      <c r="M36">
        <f t="shared" si="2"/>
        <v>156.23129557248527</v>
      </c>
      <c r="N36">
        <f t="shared" si="3"/>
        <v>8.6795164206936253</v>
      </c>
      <c r="O36">
        <v>12</v>
      </c>
      <c r="P36">
        <v>1</v>
      </c>
      <c r="Q36">
        <v>8</v>
      </c>
      <c r="R36">
        <f t="shared" si="4"/>
        <v>989.46487195907321</v>
      </c>
      <c r="S36">
        <f t="shared" si="5"/>
        <v>156.23129557248527</v>
      </c>
      <c r="T36">
        <f t="shared" si="6"/>
        <v>69.436131365549002</v>
      </c>
    </row>
    <row r="37" spans="1:27" x14ac:dyDescent="0.35">
      <c r="B37">
        <f>SUM(B4:B36)</f>
        <v>311</v>
      </c>
      <c r="C37">
        <f t="shared" ref="C37:E37" si="7">SUM(C4:C36)</f>
        <v>474</v>
      </c>
      <c r="D37">
        <f t="shared" si="7"/>
        <v>0</v>
      </c>
      <c r="E37">
        <f t="shared" si="7"/>
        <v>62</v>
      </c>
      <c r="J37">
        <f>SUM(J4:J36)</f>
        <v>46431.456808965617</v>
      </c>
      <c r="L37">
        <f>SUM(L4:L36)</f>
        <v>2668.814462782992</v>
      </c>
      <c r="M37">
        <f>SUM(M4:M36)</f>
        <v>3645.449716914693</v>
      </c>
      <c r="N37">
        <f>SUM(N4:N36)</f>
        <v>669.0496199928441</v>
      </c>
      <c r="R37">
        <f>SUM(R4:R36)</f>
        <v>32025.773553395902</v>
      </c>
      <c r="S37">
        <f>SUM(S4:S36)</f>
        <v>3645.449716914693</v>
      </c>
      <c r="T37">
        <f>SUM(T4:T36)</f>
        <v>5352.3969599427528</v>
      </c>
    </row>
    <row r="38" spans="1:27" x14ac:dyDescent="0.35">
      <c r="Q38" t="s">
        <v>802</v>
      </c>
      <c r="R38">
        <f>R37/(R37+S37+T37)</f>
        <v>0.78066668357509117</v>
      </c>
      <c r="S38">
        <f>S37/(R37+S37+T37)</f>
        <v>8.8862213925876621E-2</v>
      </c>
      <c r="T38">
        <f>T37/(R37+S37+T37)</f>
        <v>0.13047110249903213</v>
      </c>
    </row>
    <row r="39" spans="1:27" x14ac:dyDescent="0.35">
      <c r="A39" s="4" t="s">
        <v>101</v>
      </c>
      <c r="B39">
        <v>0</v>
      </c>
      <c r="C39">
        <v>2</v>
      </c>
      <c r="E39">
        <v>1</v>
      </c>
      <c r="F39">
        <v>18</v>
      </c>
      <c r="G39" t="s">
        <v>804</v>
      </c>
      <c r="J39">
        <v>6000</v>
      </c>
      <c r="K39">
        <f>J39/F39</f>
        <v>333.33333333333331</v>
      </c>
      <c r="L39">
        <v>0</v>
      </c>
      <c r="M39">
        <f>K39*C39</f>
        <v>666.66666666666663</v>
      </c>
      <c r="N39">
        <f>K39*E39</f>
        <v>333.33333333333331</v>
      </c>
      <c r="O39">
        <v>12</v>
      </c>
      <c r="P39">
        <v>1</v>
      </c>
      <c r="Q39">
        <v>8</v>
      </c>
      <c r="R39">
        <f>O39*L39</f>
        <v>0</v>
      </c>
      <c r="S39">
        <f>P39*M39</f>
        <v>666.66666666666663</v>
      </c>
      <c r="T39">
        <f>Q39*N39</f>
        <v>2666.6666666666665</v>
      </c>
      <c r="V39" t="s">
        <v>805</v>
      </c>
      <c r="W39">
        <f>J39/(J37+J39)</f>
        <v>0.11443511901378293</v>
      </c>
    </row>
    <row r="40" spans="1:27" x14ac:dyDescent="0.35">
      <c r="A40" s="4" t="s">
        <v>98</v>
      </c>
      <c r="L40" t="s">
        <v>763</v>
      </c>
      <c r="M40" t="s">
        <v>10</v>
      </c>
      <c r="N40" t="s">
        <v>12</v>
      </c>
      <c r="O40">
        <v>0</v>
      </c>
      <c r="P40" t="s">
        <v>764</v>
      </c>
      <c r="Q40" t="s">
        <v>808</v>
      </c>
      <c r="R40" t="s">
        <v>778</v>
      </c>
      <c r="S40" t="s">
        <v>779</v>
      </c>
      <c r="T40" t="s">
        <v>780</v>
      </c>
      <c r="U40" t="s">
        <v>781</v>
      </c>
      <c r="V40" t="s">
        <v>784</v>
      </c>
      <c r="W40" t="s">
        <v>782</v>
      </c>
      <c r="X40" t="s">
        <v>783</v>
      </c>
      <c r="Y40" t="s">
        <v>785</v>
      </c>
      <c r="Z40" t="s">
        <v>786</v>
      </c>
      <c r="AA40" t="s">
        <v>787</v>
      </c>
    </row>
    <row r="41" spans="1:27" x14ac:dyDescent="0.35">
      <c r="A41" s="4" t="s">
        <v>123</v>
      </c>
      <c r="C41" t="s">
        <v>771</v>
      </c>
      <c r="D41" t="s">
        <v>692</v>
      </c>
      <c r="E41" t="s">
        <v>770</v>
      </c>
      <c r="F41" t="s">
        <v>170</v>
      </c>
      <c r="G41" t="s">
        <v>211</v>
      </c>
      <c r="K41" t="s">
        <v>770</v>
      </c>
      <c r="V41">
        <v>12</v>
      </c>
      <c r="W41">
        <v>1</v>
      </c>
      <c r="X41">
        <v>8</v>
      </c>
    </row>
    <row r="42" spans="1:27" x14ac:dyDescent="0.35">
      <c r="A42" s="4" t="s">
        <v>39</v>
      </c>
      <c r="B42" t="s">
        <v>40</v>
      </c>
      <c r="C42">
        <v>1</v>
      </c>
      <c r="D42">
        <v>2.5</v>
      </c>
      <c r="E42" t="s">
        <v>102</v>
      </c>
      <c r="F42">
        <v>2</v>
      </c>
      <c r="J42" t="s">
        <v>102</v>
      </c>
      <c r="K42" t="s">
        <v>102</v>
      </c>
      <c r="L42" s="136"/>
      <c r="M42">
        <v>10</v>
      </c>
      <c r="N42">
        <v>22</v>
      </c>
      <c r="P42">
        <v>142.29</v>
      </c>
      <c r="Q42">
        <v>281.14348173936003</v>
      </c>
      <c r="R42">
        <f>Q42/P42</f>
        <v>1.9758484906835339</v>
      </c>
      <c r="S42">
        <f>R42*M42</f>
        <v>19.758484906835339</v>
      </c>
      <c r="T42">
        <f>R42*N42</f>
        <v>43.468666795037748</v>
      </c>
      <c r="U42">
        <f>R42*O42</f>
        <v>0</v>
      </c>
      <c r="V42">
        <v>12</v>
      </c>
      <c r="W42">
        <v>1</v>
      </c>
      <c r="X42">
        <v>8</v>
      </c>
      <c r="Y42">
        <f>V42*S42</f>
        <v>237.10181888202408</v>
      </c>
      <c r="Z42">
        <f>T42*W42</f>
        <v>43.468666795037748</v>
      </c>
      <c r="AA42">
        <f>X42*U42</f>
        <v>0</v>
      </c>
    </row>
    <row r="43" spans="1:27" x14ac:dyDescent="0.35">
      <c r="A43" s="4" t="s">
        <v>41</v>
      </c>
      <c r="B43" t="s">
        <v>42</v>
      </c>
      <c r="C43">
        <v>1</v>
      </c>
      <c r="D43">
        <v>4</v>
      </c>
      <c r="E43" t="s">
        <v>103</v>
      </c>
      <c r="F43">
        <v>1</v>
      </c>
      <c r="J43" t="s">
        <v>207</v>
      </c>
      <c r="K43" t="s">
        <v>103</v>
      </c>
      <c r="M43">
        <v>5</v>
      </c>
      <c r="N43">
        <v>12</v>
      </c>
      <c r="P43">
        <v>72.150000000000006</v>
      </c>
      <c r="Q43">
        <v>868.18466146109995</v>
      </c>
      <c r="R43">
        <f t="shared" ref="R43:R74" si="8">Q43/P43</f>
        <v>12.033051440902286</v>
      </c>
      <c r="S43">
        <f t="shared" ref="S43:S74" si="9">R43*M43</f>
        <v>60.165257204511427</v>
      </c>
      <c r="T43">
        <f t="shared" ref="T43:T74" si="10">R43*N43</f>
        <v>144.39661729082744</v>
      </c>
      <c r="U43">
        <f t="shared" ref="U43:U74" si="11">R43*O43</f>
        <v>0</v>
      </c>
      <c r="V43">
        <v>12</v>
      </c>
      <c r="W43">
        <v>1</v>
      </c>
      <c r="X43">
        <v>8</v>
      </c>
      <c r="Y43">
        <f t="shared" ref="Y43:Y74" si="12">V43*S43</f>
        <v>721.98308645413715</v>
      </c>
      <c r="Z43">
        <f t="shared" ref="Z43:Z74" si="13">T43*W43</f>
        <v>144.39661729082744</v>
      </c>
      <c r="AA43">
        <f t="shared" ref="AA43:AA74" si="14">X43*U43</f>
        <v>0</v>
      </c>
    </row>
    <row r="44" spans="1:27" x14ac:dyDescent="0.35">
      <c r="A44" s="4" t="s">
        <v>43</v>
      </c>
      <c r="B44" t="s">
        <v>44</v>
      </c>
      <c r="E44" t="s">
        <v>43</v>
      </c>
      <c r="J44" s="7" t="s">
        <v>131</v>
      </c>
      <c r="K44" t="s">
        <v>43</v>
      </c>
      <c r="M44">
        <v>6</v>
      </c>
      <c r="N44">
        <v>8</v>
      </c>
      <c r="O44">
        <v>1</v>
      </c>
      <c r="P44">
        <v>96.12</v>
      </c>
      <c r="Q44">
        <v>2003.7512374358701</v>
      </c>
      <c r="R44">
        <f t="shared" si="8"/>
        <v>20.846350784809299</v>
      </c>
      <c r="S44">
        <f t="shared" si="9"/>
        <v>125.07810470885579</v>
      </c>
      <c r="T44">
        <f t="shared" si="10"/>
        <v>166.7708062784744</v>
      </c>
      <c r="U44">
        <f t="shared" si="11"/>
        <v>20.846350784809299</v>
      </c>
      <c r="V44">
        <v>12</v>
      </c>
      <c r="W44">
        <v>1</v>
      </c>
      <c r="X44">
        <v>8</v>
      </c>
      <c r="Y44">
        <f t="shared" si="12"/>
        <v>1500.9372565062695</v>
      </c>
      <c r="Z44">
        <f t="shared" si="13"/>
        <v>166.7708062784744</v>
      </c>
      <c r="AA44">
        <f t="shared" si="14"/>
        <v>166.7708062784744</v>
      </c>
    </row>
    <row r="45" spans="1:27" x14ac:dyDescent="0.35">
      <c r="A45" s="4" t="s">
        <v>45</v>
      </c>
      <c r="B45" t="s">
        <v>46</v>
      </c>
      <c r="C45">
        <v>1</v>
      </c>
      <c r="D45">
        <v>5.5</v>
      </c>
      <c r="E45" t="s">
        <v>104</v>
      </c>
      <c r="F45">
        <v>4</v>
      </c>
      <c r="J45" t="s">
        <v>199</v>
      </c>
      <c r="K45" t="s">
        <v>104</v>
      </c>
      <c r="M45">
        <v>12</v>
      </c>
      <c r="N45">
        <v>26</v>
      </c>
      <c r="P45">
        <v>170.33</v>
      </c>
      <c r="Q45">
        <v>331.07832876543199</v>
      </c>
      <c r="R45">
        <f t="shared" si="8"/>
        <v>1.9437464261459048</v>
      </c>
      <c r="S45">
        <f t="shared" si="9"/>
        <v>23.324957113750855</v>
      </c>
      <c r="T45">
        <f t="shared" si="10"/>
        <v>50.537407079793525</v>
      </c>
      <c r="U45">
        <f t="shared" si="11"/>
        <v>0</v>
      </c>
      <c r="V45">
        <v>12</v>
      </c>
      <c r="W45">
        <v>1</v>
      </c>
      <c r="X45">
        <v>8</v>
      </c>
      <c r="Y45">
        <f t="shared" si="12"/>
        <v>279.89948536501026</v>
      </c>
      <c r="Z45">
        <f t="shared" si="13"/>
        <v>50.537407079793525</v>
      </c>
      <c r="AA45">
        <f t="shared" si="14"/>
        <v>0</v>
      </c>
    </row>
    <row r="46" spans="1:27" x14ac:dyDescent="0.35">
      <c r="A46" s="4" t="s">
        <v>47</v>
      </c>
      <c r="B46" t="s">
        <v>48</v>
      </c>
      <c r="C46">
        <v>1</v>
      </c>
      <c r="D46">
        <v>4</v>
      </c>
      <c r="E46" t="s">
        <v>105</v>
      </c>
      <c r="F46">
        <v>2</v>
      </c>
      <c r="J46" t="s">
        <v>208</v>
      </c>
      <c r="K46" t="s">
        <v>105</v>
      </c>
      <c r="M46">
        <v>4</v>
      </c>
      <c r="N46">
        <v>10</v>
      </c>
      <c r="P46">
        <v>58.12</v>
      </c>
      <c r="Q46">
        <v>344.964773353905</v>
      </c>
      <c r="R46">
        <f t="shared" si="8"/>
        <v>5.9353883921869413</v>
      </c>
      <c r="S46">
        <f t="shared" si="9"/>
        <v>23.741553568747765</v>
      </c>
      <c r="T46">
        <f t="shared" si="10"/>
        <v>59.353883921869411</v>
      </c>
      <c r="U46">
        <f t="shared" si="11"/>
        <v>0</v>
      </c>
      <c r="V46">
        <v>12</v>
      </c>
      <c r="W46">
        <v>1</v>
      </c>
      <c r="X46">
        <v>8</v>
      </c>
      <c r="Y46">
        <f t="shared" si="12"/>
        <v>284.89864282497319</v>
      </c>
      <c r="Z46">
        <f t="shared" si="13"/>
        <v>59.353883921869411</v>
      </c>
      <c r="AA46">
        <f t="shared" si="14"/>
        <v>0</v>
      </c>
    </row>
    <row r="47" spans="1:27" x14ac:dyDescent="0.35">
      <c r="A47" s="4" t="s">
        <v>49</v>
      </c>
      <c r="B47" t="s">
        <v>50</v>
      </c>
      <c r="C47">
        <v>1</v>
      </c>
      <c r="D47">
        <v>4</v>
      </c>
      <c r="E47" t="s">
        <v>106</v>
      </c>
      <c r="F47">
        <v>2</v>
      </c>
      <c r="J47" t="s">
        <v>200</v>
      </c>
      <c r="K47" t="s">
        <v>106</v>
      </c>
      <c r="M47">
        <v>6</v>
      </c>
      <c r="N47">
        <v>14</v>
      </c>
      <c r="P47">
        <v>86.18</v>
      </c>
      <c r="Q47">
        <v>488.33550851410303</v>
      </c>
      <c r="R47">
        <f t="shared" si="8"/>
        <v>5.6664598342318753</v>
      </c>
      <c r="S47">
        <f t="shared" si="9"/>
        <v>33.99875900539125</v>
      </c>
      <c r="T47">
        <f t="shared" si="10"/>
        <v>79.330437679246259</v>
      </c>
      <c r="U47">
        <f t="shared" si="11"/>
        <v>0</v>
      </c>
      <c r="V47">
        <v>12</v>
      </c>
      <c r="W47">
        <v>1</v>
      </c>
      <c r="X47">
        <v>8</v>
      </c>
      <c r="Y47">
        <f t="shared" si="12"/>
        <v>407.985108064695</v>
      </c>
      <c r="Z47">
        <f t="shared" si="13"/>
        <v>79.330437679246259</v>
      </c>
      <c r="AA47">
        <f t="shared" si="14"/>
        <v>0</v>
      </c>
    </row>
    <row r="48" spans="1:27" x14ac:dyDescent="0.35">
      <c r="A48" s="4" t="s">
        <v>51</v>
      </c>
      <c r="B48" t="s">
        <v>44</v>
      </c>
      <c r="C48">
        <v>1</v>
      </c>
      <c r="D48">
        <v>4</v>
      </c>
      <c r="E48" t="s">
        <v>106</v>
      </c>
      <c r="F48">
        <v>1</v>
      </c>
      <c r="J48" t="s">
        <v>201</v>
      </c>
      <c r="K48" t="s">
        <v>106</v>
      </c>
      <c r="M48">
        <v>6</v>
      </c>
      <c r="N48">
        <v>14</v>
      </c>
      <c r="P48">
        <v>86.18</v>
      </c>
      <c r="Q48">
        <v>712.12994904591596</v>
      </c>
      <c r="R48">
        <f t="shared" si="8"/>
        <v>8.2632855540254813</v>
      </c>
      <c r="S48">
        <f t="shared" si="9"/>
        <v>49.579713324152891</v>
      </c>
      <c r="T48">
        <f t="shared" si="10"/>
        <v>115.68599775635674</v>
      </c>
      <c r="U48">
        <f t="shared" si="11"/>
        <v>0</v>
      </c>
      <c r="V48">
        <v>12</v>
      </c>
      <c r="W48">
        <v>1</v>
      </c>
      <c r="X48">
        <v>8</v>
      </c>
      <c r="Y48">
        <f t="shared" si="12"/>
        <v>594.95655988983469</v>
      </c>
      <c r="Z48">
        <f t="shared" si="13"/>
        <v>115.68599775635674</v>
      </c>
      <c r="AA48">
        <f t="shared" si="14"/>
        <v>0</v>
      </c>
    </row>
    <row r="49" spans="1:27" x14ac:dyDescent="0.35">
      <c r="A49" s="4" t="s">
        <v>52</v>
      </c>
      <c r="B49" t="s">
        <v>53</v>
      </c>
      <c r="E49" t="s">
        <v>52</v>
      </c>
      <c r="J49" s="7" t="s">
        <v>136</v>
      </c>
      <c r="K49" t="s">
        <v>52</v>
      </c>
      <c r="M49">
        <v>7</v>
      </c>
      <c r="N49">
        <v>10</v>
      </c>
      <c r="O49">
        <v>1</v>
      </c>
      <c r="P49">
        <v>110.15</v>
      </c>
      <c r="Q49">
        <v>358.44561217647401</v>
      </c>
      <c r="R49">
        <f t="shared" si="8"/>
        <v>3.2541589848068453</v>
      </c>
      <c r="S49">
        <f t="shared" si="9"/>
        <v>22.779112893647916</v>
      </c>
      <c r="T49">
        <f t="shared" si="10"/>
        <v>32.541589848068455</v>
      </c>
      <c r="U49">
        <f t="shared" si="11"/>
        <v>3.2541589848068453</v>
      </c>
      <c r="V49">
        <v>12</v>
      </c>
      <c r="W49">
        <v>1</v>
      </c>
      <c r="X49">
        <v>8</v>
      </c>
      <c r="Y49">
        <f t="shared" si="12"/>
        <v>273.34935472377498</v>
      </c>
      <c r="Z49">
        <f t="shared" si="13"/>
        <v>32.541589848068455</v>
      </c>
      <c r="AA49">
        <f t="shared" si="14"/>
        <v>26.033271878454762</v>
      </c>
    </row>
    <row r="50" spans="1:27" x14ac:dyDescent="0.35">
      <c r="A50" s="4" t="s">
        <v>54</v>
      </c>
      <c r="B50" t="s">
        <v>53</v>
      </c>
      <c r="E50" t="s">
        <v>54</v>
      </c>
      <c r="J50" s="7" t="s">
        <v>137</v>
      </c>
      <c r="K50" t="s">
        <v>54</v>
      </c>
      <c r="M50">
        <v>7</v>
      </c>
      <c r="N50">
        <v>10</v>
      </c>
      <c r="O50">
        <v>1</v>
      </c>
      <c r="P50">
        <v>110.15</v>
      </c>
      <c r="Q50">
        <v>1200.2233298366</v>
      </c>
      <c r="R50">
        <f t="shared" si="8"/>
        <v>10.896262640368588</v>
      </c>
      <c r="S50">
        <f t="shared" si="9"/>
        <v>76.273838482580118</v>
      </c>
      <c r="T50">
        <f t="shared" si="10"/>
        <v>108.96262640368589</v>
      </c>
      <c r="U50">
        <f t="shared" si="11"/>
        <v>10.896262640368588</v>
      </c>
      <c r="V50">
        <v>12</v>
      </c>
      <c r="W50">
        <v>1</v>
      </c>
      <c r="X50">
        <v>8</v>
      </c>
      <c r="Y50">
        <f t="shared" si="12"/>
        <v>915.28606179096141</v>
      </c>
      <c r="Z50">
        <f t="shared" si="13"/>
        <v>108.96262640368589</v>
      </c>
      <c r="AA50">
        <f t="shared" si="14"/>
        <v>87.170101122948708</v>
      </c>
    </row>
    <row r="51" spans="1:27" x14ac:dyDescent="0.35">
      <c r="A51" s="4" t="s">
        <v>55</v>
      </c>
      <c r="B51" t="s">
        <v>56</v>
      </c>
      <c r="C51">
        <v>1</v>
      </c>
      <c r="D51">
        <v>4</v>
      </c>
      <c r="E51" t="s">
        <v>107</v>
      </c>
      <c r="F51">
        <v>2</v>
      </c>
      <c r="J51" s="9" t="s">
        <v>195</v>
      </c>
      <c r="K51" t="s">
        <v>107</v>
      </c>
      <c r="M51">
        <v>6</v>
      </c>
      <c r="N51">
        <v>8</v>
      </c>
      <c r="O51">
        <v>2</v>
      </c>
      <c r="P51">
        <v>112.13</v>
      </c>
      <c r="Q51">
        <v>1015.04086490585</v>
      </c>
      <c r="R51">
        <f t="shared" si="8"/>
        <v>9.0523576643703745</v>
      </c>
      <c r="S51">
        <f t="shared" si="9"/>
        <v>54.314145986222243</v>
      </c>
      <c r="T51">
        <f t="shared" si="10"/>
        <v>72.418861314962996</v>
      </c>
      <c r="U51">
        <f t="shared" si="11"/>
        <v>18.104715328740749</v>
      </c>
      <c r="V51">
        <v>12</v>
      </c>
      <c r="W51">
        <v>1</v>
      </c>
      <c r="X51">
        <v>8</v>
      </c>
      <c r="Y51">
        <f t="shared" si="12"/>
        <v>651.76975183466698</v>
      </c>
      <c r="Z51">
        <f t="shared" si="13"/>
        <v>72.418861314962996</v>
      </c>
      <c r="AA51">
        <f t="shared" si="14"/>
        <v>144.83772262992599</v>
      </c>
    </row>
    <row r="52" spans="1:27" x14ac:dyDescent="0.35">
      <c r="A52" s="4" t="s">
        <v>57</v>
      </c>
      <c r="B52" t="s">
        <v>58</v>
      </c>
      <c r="C52">
        <v>1</v>
      </c>
      <c r="D52">
        <v>4</v>
      </c>
      <c r="E52" t="s">
        <v>108</v>
      </c>
      <c r="F52">
        <v>2</v>
      </c>
      <c r="J52" t="s">
        <v>196</v>
      </c>
      <c r="K52" t="s">
        <v>108</v>
      </c>
      <c r="M52">
        <v>7</v>
      </c>
      <c r="N52">
        <v>14</v>
      </c>
      <c r="P52">
        <v>98.186000000000007</v>
      </c>
      <c r="Q52">
        <v>224.588963539449</v>
      </c>
      <c r="R52">
        <f t="shared" si="8"/>
        <v>2.2873827586361495</v>
      </c>
      <c r="S52">
        <f t="shared" si="9"/>
        <v>16.011679310453047</v>
      </c>
      <c r="T52">
        <f t="shared" si="10"/>
        <v>32.023358620906095</v>
      </c>
      <c r="U52">
        <f t="shared" si="11"/>
        <v>0</v>
      </c>
      <c r="V52">
        <v>12</v>
      </c>
      <c r="W52">
        <v>1</v>
      </c>
      <c r="X52">
        <v>8</v>
      </c>
      <c r="Y52">
        <f t="shared" si="12"/>
        <v>192.14015172543657</v>
      </c>
      <c r="Z52">
        <f t="shared" si="13"/>
        <v>32.023358620906095</v>
      </c>
      <c r="AA52">
        <f t="shared" si="14"/>
        <v>0</v>
      </c>
    </row>
    <row r="53" spans="1:27" x14ac:dyDescent="0.35">
      <c r="A53" s="4" t="s">
        <v>59</v>
      </c>
      <c r="B53" t="s">
        <v>60</v>
      </c>
      <c r="E53" t="s">
        <v>59</v>
      </c>
      <c r="J53" s="7" t="s">
        <v>140</v>
      </c>
      <c r="K53" t="s">
        <v>59</v>
      </c>
      <c r="M53">
        <v>9</v>
      </c>
      <c r="N53">
        <v>10</v>
      </c>
      <c r="O53">
        <v>3</v>
      </c>
      <c r="P53">
        <v>166.17599999999999</v>
      </c>
      <c r="Q53">
        <v>688.40363517955404</v>
      </c>
      <c r="R53">
        <f t="shared" si="8"/>
        <v>4.1426176775199437</v>
      </c>
      <c r="S53">
        <f t="shared" si="9"/>
        <v>37.283559097679493</v>
      </c>
      <c r="T53">
        <f t="shared" si="10"/>
        <v>41.426176775199437</v>
      </c>
      <c r="U53">
        <f t="shared" si="11"/>
        <v>12.427853032559831</v>
      </c>
      <c r="V53">
        <v>12</v>
      </c>
      <c r="W53">
        <v>1</v>
      </c>
      <c r="X53">
        <v>8</v>
      </c>
      <c r="Y53">
        <f t="shared" si="12"/>
        <v>447.40270917215389</v>
      </c>
      <c r="Z53">
        <f t="shared" si="13"/>
        <v>41.426176775199437</v>
      </c>
      <c r="AA53">
        <f t="shared" si="14"/>
        <v>99.422824260478649</v>
      </c>
    </row>
    <row r="54" spans="1:27" x14ac:dyDescent="0.35">
      <c r="A54" s="4" t="s">
        <v>61</v>
      </c>
      <c r="B54" t="s">
        <v>62</v>
      </c>
      <c r="E54" t="s">
        <v>61</v>
      </c>
      <c r="J54" s="7" t="s">
        <v>141</v>
      </c>
      <c r="K54" t="s">
        <v>61</v>
      </c>
      <c r="M54">
        <v>11</v>
      </c>
      <c r="N54">
        <v>14</v>
      </c>
      <c r="O54">
        <v>4</v>
      </c>
      <c r="P54">
        <v>210.227</v>
      </c>
      <c r="Q54">
        <v>759.17565104109599</v>
      </c>
      <c r="R54">
        <f t="shared" si="8"/>
        <v>3.6112185924790632</v>
      </c>
      <c r="S54">
        <f t="shared" si="9"/>
        <v>39.723404517269692</v>
      </c>
      <c r="T54">
        <f t="shared" si="10"/>
        <v>50.557060294706886</v>
      </c>
      <c r="U54">
        <f t="shared" si="11"/>
        <v>14.444874369916253</v>
      </c>
      <c r="V54">
        <v>12</v>
      </c>
      <c r="W54">
        <v>1</v>
      </c>
      <c r="X54">
        <v>8</v>
      </c>
      <c r="Y54">
        <f t="shared" si="12"/>
        <v>476.68085420723628</v>
      </c>
      <c r="Z54">
        <f t="shared" si="13"/>
        <v>50.557060294706886</v>
      </c>
      <c r="AA54">
        <f t="shared" si="14"/>
        <v>115.55899495933002</v>
      </c>
    </row>
    <row r="55" spans="1:27" x14ac:dyDescent="0.35">
      <c r="A55" s="4" t="s">
        <v>63</v>
      </c>
      <c r="B55" t="s">
        <v>64</v>
      </c>
      <c r="C55">
        <v>1</v>
      </c>
      <c r="D55">
        <v>3</v>
      </c>
      <c r="E55" t="s">
        <v>109</v>
      </c>
      <c r="F55">
        <v>2</v>
      </c>
      <c r="J55" t="s">
        <v>197</v>
      </c>
      <c r="K55" t="s">
        <v>109</v>
      </c>
      <c r="M55">
        <v>18</v>
      </c>
      <c r="N55">
        <v>36</v>
      </c>
      <c r="P55">
        <v>252.5</v>
      </c>
      <c r="Q55">
        <v>822.36108806991899</v>
      </c>
      <c r="R55">
        <f t="shared" si="8"/>
        <v>3.2568755963165108</v>
      </c>
      <c r="S55">
        <f t="shared" si="9"/>
        <v>58.623760733697196</v>
      </c>
      <c r="T55">
        <f t="shared" si="10"/>
        <v>117.24752146739439</v>
      </c>
      <c r="U55">
        <f t="shared" si="11"/>
        <v>0</v>
      </c>
      <c r="V55">
        <v>12</v>
      </c>
      <c r="W55">
        <v>1</v>
      </c>
      <c r="X55">
        <v>8</v>
      </c>
      <c r="Y55">
        <f t="shared" si="12"/>
        <v>703.48512880436635</v>
      </c>
      <c r="Z55">
        <f t="shared" si="13"/>
        <v>117.24752146739439</v>
      </c>
      <c r="AA55">
        <f t="shared" si="14"/>
        <v>0</v>
      </c>
    </row>
    <row r="56" spans="1:27" x14ac:dyDescent="0.35">
      <c r="A56" s="4" t="s">
        <v>65</v>
      </c>
      <c r="B56" t="s">
        <v>66</v>
      </c>
      <c r="E56" t="s">
        <v>65</v>
      </c>
      <c r="J56" s="7" t="s">
        <v>143</v>
      </c>
      <c r="K56" t="s">
        <v>65</v>
      </c>
      <c r="M56">
        <v>6</v>
      </c>
      <c r="N56">
        <v>6</v>
      </c>
      <c r="O56">
        <v>1</v>
      </c>
      <c r="P56">
        <v>94</v>
      </c>
      <c r="Q56">
        <v>769.25820616100998</v>
      </c>
      <c r="R56">
        <f t="shared" si="8"/>
        <v>8.1835979378830856</v>
      </c>
      <c r="S56">
        <f t="shared" si="9"/>
        <v>49.101587627298514</v>
      </c>
      <c r="T56">
        <f t="shared" si="10"/>
        <v>49.101587627298514</v>
      </c>
      <c r="U56">
        <f t="shared" si="11"/>
        <v>8.1835979378830856</v>
      </c>
      <c r="V56">
        <v>12</v>
      </c>
      <c r="W56">
        <v>1</v>
      </c>
      <c r="X56">
        <v>8</v>
      </c>
      <c r="Y56">
        <f t="shared" si="12"/>
        <v>589.21905152758222</v>
      </c>
      <c r="Z56">
        <f t="shared" si="13"/>
        <v>49.101587627298514</v>
      </c>
      <c r="AA56">
        <f t="shared" si="14"/>
        <v>65.468783503064685</v>
      </c>
    </row>
    <row r="57" spans="1:27" x14ac:dyDescent="0.35">
      <c r="A57" s="4" t="s">
        <v>67</v>
      </c>
      <c r="B57" t="s">
        <v>68</v>
      </c>
      <c r="E57" t="s">
        <v>67</v>
      </c>
      <c r="J57" s="7" t="s">
        <v>144</v>
      </c>
      <c r="K57" t="s">
        <v>67</v>
      </c>
      <c r="M57">
        <v>7</v>
      </c>
      <c r="N57">
        <v>8</v>
      </c>
      <c r="O57">
        <v>1</v>
      </c>
      <c r="P57">
        <v>108.14</v>
      </c>
      <c r="Q57">
        <v>537.06900693476302</v>
      </c>
      <c r="R57">
        <f t="shared" si="8"/>
        <v>4.9664232192968658</v>
      </c>
      <c r="S57">
        <f t="shared" si="9"/>
        <v>34.764962535078062</v>
      </c>
      <c r="T57">
        <f t="shared" si="10"/>
        <v>39.731385754374926</v>
      </c>
      <c r="U57">
        <f t="shared" si="11"/>
        <v>4.9664232192968658</v>
      </c>
      <c r="V57">
        <v>12</v>
      </c>
      <c r="W57">
        <v>1</v>
      </c>
      <c r="X57">
        <v>8</v>
      </c>
      <c r="Y57">
        <f t="shared" si="12"/>
        <v>417.17955042093672</v>
      </c>
      <c r="Z57">
        <f t="shared" si="13"/>
        <v>39.731385754374926</v>
      </c>
      <c r="AA57">
        <f t="shared" si="14"/>
        <v>39.731385754374926</v>
      </c>
    </row>
    <row r="58" spans="1:27" x14ac:dyDescent="0.35">
      <c r="A58" s="4" t="s">
        <v>69</v>
      </c>
      <c r="B58" t="s">
        <v>70</v>
      </c>
      <c r="E58" t="s">
        <v>69</v>
      </c>
      <c r="J58" s="7" t="s">
        <v>145</v>
      </c>
      <c r="K58" t="s">
        <v>69</v>
      </c>
      <c r="M58">
        <v>7</v>
      </c>
      <c r="N58">
        <v>8</v>
      </c>
      <c r="O58">
        <v>2</v>
      </c>
      <c r="P58">
        <v>124.14</v>
      </c>
      <c r="Q58">
        <v>9609.57156269812</v>
      </c>
      <c r="R58">
        <f t="shared" si="8"/>
        <v>77.409147435944263</v>
      </c>
      <c r="S58">
        <f t="shared" si="9"/>
        <v>541.8640320516098</v>
      </c>
      <c r="T58">
        <f t="shared" si="10"/>
        <v>619.2731794875541</v>
      </c>
      <c r="U58">
        <f t="shared" si="11"/>
        <v>154.81829487188853</v>
      </c>
      <c r="V58">
        <v>12</v>
      </c>
      <c r="W58">
        <v>1</v>
      </c>
      <c r="X58">
        <v>8</v>
      </c>
      <c r="Y58">
        <f t="shared" si="12"/>
        <v>6502.368384619318</v>
      </c>
      <c r="Z58">
        <f t="shared" si="13"/>
        <v>619.2731794875541</v>
      </c>
      <c r="AA58">
        <f t="shared" si="14"/>
        <v>1238.5463589751082</v>
      </c>
    </row>
    <row r="59" spans="1:27" x14ac:dyDescent="0.35">
      <c r="A59" s="4" t="s">
        <v>71</v>
      </c>
      <c r="B59" t="s">
        <v>72</v>
      </c>
      <c r="E59" t="s">
        <v>71</v>
      </c>
      <c r="J59" s="7" t="s">
        <v>146</v>
      </c>
      <c r="K59" t="s">
        <v>71</v>
      </c>
      <c r="M59">
        <v>8</v>
      </c>
      <c r="N59">
        <v>10</v>
      </c>
      <c r="O59">
        <v>1</v>
      </c>
      <c r="P59">
        <v>122.16</v>
      </c>
      <c r="Q59">
        <v>289.42117887952401</v>
      </c>
      <c r="R59">
        <f t="shared" si="8"/>
        <v>2.3691976005200068</v>
      </c>
      <c r="S59">
        <f t="shared" si="9"/>
        <v>18.953580804160055</v>
      </c>
      <c r="T59">
        <f t="shared" si="10"/>
        <v>23.691976005200068</v>
      </c>
      <c r="U59">
        <f t="shared" si="11"/>
        <v>2.3691976005200068</v>
      </c>
      <c r="V59">
        <v>12</v>
      </c>
      <c r="W59">
        <v>1</v>
      </c>
      <c r="X59">
        <v>8</v>
      </c>
      <c r="Y59">
        <f t="shared" si="12"/>
        <v>227.44296964992066</v>
      </c>
      <c r="Z59">
        <f t="shared" si="13"/>
        <v>23.691976005200068</v>
      </c>
      <c r="AA59">
        <f t="shared" si="14"/>
        <v>18.953580804160055</v>
      </c>
    </row>
    <row r="60" spans="1:27" x14ac:dyDescent="0.35">
      <c r="A60" s="4" t="s">
        <v>73</v>
      </c>
      <c r="B60" t="s">
        <v>74</v>
      </c>
      <c r="E60" t="s">
        <v>73</v>
      </c>
      <c r="J60" s="7" t="s">
        <v>147</v>
      </c>
      <c r="K60" t="s">
        <v>73</v>
      </c>
      <c r="M60">
        <v>8</v>
      </c>
      <c r="N60">
        <v>10</v>
      </c>
      <c r="O60">
        <v>2</v>
      </c>
      <c r="P60">
        <v>138.16</v>
      </c>
      <c r="Q60">
        <v>1524.3136953118701</v>
      </c>
      <c r="R60">
        <f t="shared" si="8"/>
        <v>11.032959578111393</v>
      </c>
      <c r="S60">
        <f t="shared" si="9"/>
        <v>88.263676624891147</v>
      </c>
      <c r="T60">
        <f t="shared" si="10"/>
        <v>110.32959578111394</v>
      </c>
      <c r="U60">
        <f t="shared" si="11"/>
        <v>22.065919156222787</v>
      </c>
      <c r="V60">
        <v>12</v>
      </c>
      <c r="W60">
        <v>1</v>
      </c>
      <c r="X60">
        <v>8</v>
      </c>
      <c r="Y60">
        <f t="shared" si="12"/>
        <v>1059.1641194986937</v>
      </c>
      <c r="Z60">
        <f t="shared" si="13"/>
        <v>110.32959578111394</v>
      </c>
      <c r="AA60">
        <f t="shared" si="14"/>
        <v>176.52735324978229</v>
      </c>
    </row>
    <row r="61" spans="1:27" x14ac:dyDescent="0.35">
      <c r="A61" s="4" t="s">
        <v>75</v>
      </c>
      <c r="B61" t="s">
        <v>46</v>
      </c>
      <c r="E61" t="s">
        <v>75</v>
      </c>
      <c r="J61" s="7" t="s">
        <v>148</v>
      </c>
      <c r="K61" t="s">
        <v>75</v>
      </c>
      <c r="M61">
        <v>6</v>
      </c>
      <c r="N61">
        <v>6</v>
      </c>
      <c r="O61">
        <v>2</v>
      </c>
      <c r="P61">
        <v>110.1</v>
      </c>
      <c r="Q61">
        <v>1061.4151374349899</v>
      </c>
      <c r="R61">
        <f t="shared" si="8"/>
        <v>9.6404644635330605</v>
      </c>
      <c r="S61">
        <f t="shared" si="9"/>
        <v>57.842786781198363</v>
      </c>
      <c r="T61">
        <f t="shared" si="10"/>
        <v>57.842786781198363</v>
      </c>
      <c r="U61">
        <f t="shared" si="11"/>
        <v>19.280928927066121</v>
      </c>
      <c r="V61">
        <v>12</v>
      </c>
      <c r="W61">
        <v>1</v>
      </c>
      <c r="X61">
        <v>8</v>
      </c>
      <c r="Y61">
        <f t="shared" si="12"/>
        <v>694.11344137438039</v>
      </c>
      <c r="Z61">
        <f t="shared" si="13"/>
        <v>57.842786781198363</v>
      </c>
      <c r="AA61">
        <f t="shared" si="14"/>
        <v>154.24743141652897</v>
      </c>
    </row>
    <row r="62" spans="1:27" x14ac:dyDescent="0.35">
      <c r="A62" s="4" t="s">
        <v>76</v>
      </c>
      <c r="B62" t="s">
        <v>77</v>
      </c>
      <c r="E62" t="s">
        <v>76</v>
      </c>
      <c r="J62" s="7" t="s">
        <v>150</v>
      </c>
      <c r="K62" t="s">
        <v>76</v>
      </c>
      <c r="M62">
        <v>7</v>
      </c>
      <c r="N62">
        <v>8</v>
      </c>
      <c r="O62">
        <v>3</v>
      </c>
      <c r="P62">
        <v>140.13659999999999</v>
      </c>
      <c r="Q62">
        <v>2147.2200958547</v>
      </c>
      <c r="R62">
        <f t="shared" si="8"/>
        <v>15.322336176664058</v>
      </c>
      <c r="S62">
        <f t="shared" si="9"/>
        <v>107.25635323664841</v>
      </c>
      <c r="T62">
        <f t="shared" si="10"/>
        <v>122.57868941331246</v>
      </c>
      <c r="U62">
        <f t="shared" si="11"/>
        <v>45.967008529992171</v>
      </c>
      <c r="V62">
        <v>12</v>
      </c>
      <c r="W62">
        <v>1</v>
      </c>
      <c r="X62">
        <v>8</v>
      </c>
      <c r="Y62">
        <f t="shared" si="12"/>
        <v>1287.0762388397809</v>
      </c>
      <c r="Z62">
        <f t="shared" si="13"/>
        <v>122.57868941331246</v>
      </c>
      <c r="AA62">
        <f t="shared" si="14"/>
        <v>367.73606823993737</v>
      </c>
    </row>
    <row r="63" spans="1:27" x14ac:dyDescent="0.35">
      <c r="A63" s="4" t="s">
        <v>78</v>
      </c>
      <c r="B63" t="s">
        <v>70</v>
      </c>
      <c r="E63" t="s">
        <v>78</v>
      </c>
      <c r="J63" s="7" t="s">
        <v>181</v>
      </c>
      <c r="K63" t="s">
        <v>78</v>
      </c>
      <c r="M63">
        <v>7</v>
      </c>
      <c r="N63">
        <v>8</v>
      </c>
      <c r="O63">
        <v>2</v>
      </c>
      <c r="P63">
        <v>124.13720000000001</v>
      </c>
      <c r="Q63">
        <v>263.771412078548</v>
      </c>
      <c r="R63">
        <f t="shared" si="8"/>
        <v>2.124837776899656</v>
      </c>
      <c r="S63">
        <f t="shared" si="9"/>
        <v>14.873864438297591</v>
      </c>
      <c r="T63">
        <f t="shared" si="10"/>
        <v>16.998702215197248</v>
      </c>
      <c r="U63">
        <f t="shared" si="11"/>
        <v>4.2496755537993121</v>
      </c>
      <c r="V63">
        <v>12</v>
      </c>
      <c r="W63">
        <v>1</v>
      </c>
      <c r="X63">
        <v>8</v>
      </c>
      <c r="Y63">
        <f t="shared" si="12"/>
        <v>178.48637325957111</v>
      </c>
      <c r="Z63">
        <f t="shared" si="13"/>
        <v>16.998702215197248</v>
      </c>
      <c r="AA63">
        <f t="shared" si="14"/>
        <v>33.997404430394496</v>
      </c>
    </row>
    <row r="64" spans="1:27" x14ac:dyDescent="0.35">
      <c r="A64" s="4" t="s">
        <v>79</v>
      </c>
      <c r="B64" t="s">
        <v>80</v>
      </c>
      <c r="E64" t="s">
        <v>79</v>
      </c>
      <c r="J64" s="7" t="s">
        <v>182</v>
      </c>
      <c r="K64" t="s">
        <v>79</v>
      </c>
      <c r="M64">
        <v>9</v>
      </c>
      <c r="N64">
        <v>12</v>
      </c>
      <c r="O64">
        <v>2</v>
      </c>
      <c r="P64">
        <v>152.19</v>
      </c>
      <c r="Q64">
        <v>1820.57606987133</v>
      </c>
      <c r="R64">
        <f t="shared" si="8"/>
        <v>11.962520992649518</v>
      </c>
      <c r="S64">
        <f t="shared" si="9"/>
        <v>107.66268893384566</v>
      </c>
      <c r="T64">
        <f t="shared" si="10"/>
        <v>143.55025191179422</v>
      </c>
      <c r="U64">
        <f t="shared" si="11"/>
        <v>23.925041985299035</v>
      </c>
      <c r="V64">
        <v>12</v>
      </c>
      <c r="W64">
        <v>1</v>
      </c>
      <c r="X64">
        <v>8</v>
      </c>
      <c r="Y64">
        <f t="shared" si="12"/>
        <v>1291.952267206148</v>
      </c>
      <c r="Z64">
        <f t="shared" si="13"/>
        <v>143.55025191179422</v>
      </c>
      <c r="AA64">
        <f t="shared" si="14"/>
        <v>191.40033588239228</v>
      </c>
    </row>
    <row r="65" spans="1:27" x14ac:dyDescent="0.35">
      <c r="A65" s="4" t="s">
        <v>81</v>
      </c>
      <c r="B65" t="s">
        <v>70</v>
      </c>
      <c r="E65" t="s">
        <v>81</v>
      </c>
      <c r="J65" s="7" t="s">
        <v>183</v>
      </c>
      <c r="K65" t="s">
        <v>81</v>
      </c>
      <c r="M65">
        <v>7</v>
      </c>
      <c r="N65">
        <v>8</v>
      </c>
      <c r="O65">
        <v>2</v>
      </c>
      <c r="P65">
        <v>124.13720000000001</v>
      </c>
      <c r="Q65">
        <v>386.00060755605898</v>
      </c>
      <c r="R65">
        <f t="shared" si="8"/>
        <v>3.1094676499555245</v>
      </c>
      <c r="S65">
        <f t="shared" si="9"/>
        <v>21.76627354968867</v>
      </c>
      <c r="T65">
        <f t="shared" si="10"/>
        <v>24.875741199644196</v>
      </c>
      <c r="U65">
        <f t="shared" si="11"/>
        <v>6.218935299911049</v>
      </c>
      <c r="V65">
        <v>12</v>
      </c>
      <c r="W65">
        <v>1</v>
      </c>
      <c r="X65">
        <v>8</v>
      </c>
      <c r="Y65">
        <f t="shared" si="12"/>
        <v>261.19528259626406</v>
      </c>
      <c r="Z65">
        <f t="shared" si="13"/>
        <v>24.875741199644196</v>
      </c>
      <c r="AA65">
        <f t="shared" si="14"/>
        <v>49.751482399288392</v>
      </c>
    </row>
    <row r="66" spans="1:27" x14ac:dyDescent="0.35">
      <c r="A66" s="4" t="s">
        <v>82</v>
      </c>
      <c r="B66" t="s">
        <v>83</v>
      </c>
      <c r="E66" t="s">
        <v>82</v>
      </c>
      <c r="J66" s="7" t="s">
        <v>153</v>
      </c>
      <c r="K66" t="s">
        <v>82</v>
      </c>
      <c r="M66">
        <v>8</v>
      </c>
      <c r="N66">
        <v>10</v>
      </c>
      <c r="O66">
        <v>3</v>
      </c>
      <c r="P66">
        <v>154.16</v>
      </c>
      <c r="Q66">
        <v>8041.8754333733696</v>
      </c>
      <c r="R66">
        <f t="shared" si="8"/>
        <v>52.165772141757721</v>
      </c>
      <c r="S66">
        <f t="shared" si="9"/>
        <v>417.32617713406177</v>
      </c>
      <c r="T66">
        <f t="shared" si="10"/>
        <v>521.65772141757725</v>
      </c>
      <c r="U66">
        <f t="shared" si="11"/>
        <v>156.49731642527317</v>
      </c>
      <c r="V66">
        <v>12</v>
      </c>
      <c r="W66">
        <v>1</v>
      </c>
      <c r="X66">
        <v>8</v>
      </c>
      <c r="Y66">
        <f t="shared" si="12"/>
        <v>5007.9141256087414</v>
      </c>
      <c r="Z66">
        <f t="shared" si="13"/>
        <v>521.65772141757725</v>
      </c>
      <c r="AA66">
        <f t="shared" si="14"/>
        <v>1251.9785314021854</v>
      </c>
    </row>
    <row r="67" spans="1:27" x14ac:dyDescent="0.35">
      <c r="A67" s="4" t="s">
        <v>84</v>
      </c>
      <c r="B67" t="s">
        <v>85</v>
      </c>
      <c r="C67">
        <v>1</v>
      </c>
      <c r="D67">
        <v>5</v>
      </c>
      <c r="E67" t="s">
        <v>110</v>
      </c>
      <c r="F67">
        <v>1</v>
      </c>
      <c r="J67" t="s">
        <v>198</v>
      </c>
      <c r="K67" t="s">
        <v>110</v>
      </c>
      <c r="M67">
        <v>10</v>
      </c>
      <c r="N67">
        <v>20</v>
      </c>
      <c r="P67">
        <v>140.27000000000001</v>
      </c>
      <c r="Q67">
        <v>428.55717327438401</v>
      </c>
      <c r="R67">
        <f t="shared" si="8"/>
        <v>3.0552304361187992</v>
      </c>
      <c r="S67">
        <f t="shared" si="9"/>
        <v>30.552304361187993</v>
      </c>
      <c r="T67">
        <f t="shared" si="10"/>
        <v>61.104608722375986</v>
      </c>
      <c r="U67">
        <f t="shared" si="11"/>
        <v>0</v>
      </c>
      <c r="V67">
        <v>12</v>
      </c>
      <c r="W67">
        <v>1</v>
      </c>
      <c r="X67">
        <v>8</v>
      </c>
      <c r="Y67">
        <f t="shared" si="12"/>
        <v>366.62765233425591</v>
      </c>
      <c r="Z67">
        <f t="shared" si="13"/>
        <v>61.104608722375986</v>
      </c>
      <c r="AA67">
        <f t="shared" si="14"/>
        <v>0</v>
      </c>
    </row>
    <row r="68" spans="1:27" x14ac:dyDescent="0.35">
      <c r="A68" s="4" t="s">
        <v>86</v>
      </c>
      <c r="B68" t="s">
        <v>87</v>
      </c>
      <c r="E68" t="s">
        <v>86</v>
      </c>
      <c r="J68" s="7" t="s">
        <v>185</v>
      </c>
      <c r="K68" t="s">
        <v>86</v>
      </c>
      <c r="M68">
        <v>10</v>
      </c>
      <c r="N68">
        <v>14</v>
      </c>
      <c r="O68">
        <v>2</v>
      </c>
      <c r="P68">
        <v>166.21700000000001</v>
      </c>
      <c r="Q68">
        <v>1093.70355273582</v>
      </c>
      <c r="R68">
        <f t="shared" si="8"/>
        <v>6.5799740865002976</v>
      </c>
      <c r="S68">
        <f t="shared" si="9"/>
        <v>65.799740865002974</v>
      </c>
      <c r="T68">
        <f t="shared" si="10"/>
        <v>92.119637211004161</v>
      </c>
      <c r="U68">
        <f t="shared" si="11"/>
        <v>13.159948173000595</v>
      </c>
      <c r="V68">
        <v>12</v>
      </c>
      <c r="W68">
        <v>1</v>
      </c>
      <c r="X68">
        <v>8</v>
      </c>
      <c r="Y68">
        <f t="shared" si="12"/>
        <v>789.59689038003569</v>
      </c>
      <c r="Z68">
        <f t="shared" si="13"/>
        <v>92.119637211004161</v>
      </c>
      <c r="AA68">
        <f t="shared" si="14"/>
        <v>105.27958538400476</v>
      </c>
    </row>
    <row r="69" spans="1:27" x14ac:dyDescent="0.35">
      <c r="A69" s="4" t="s">
        <v>88</v>
      </c>
      <c r="B69" t="s">
        <v>89</v>
      </c>
      <c r="E69" t="s">
        <v>88</v>
      </c>
      <c r="J69" s="7" t="s">
        <v>156</v>
      </c>
      <c r="K69" t="s">
        <v>88</v>
      </c>
      <c r="M69">
        <v>16</v>
      </c>
      <c r="N69">
        <v>32</v>
      </c>
      <c r="O69">
        <v>2</v>
      </c>
      <c r="P69">
        <v>256.39999999999998</v>
      </c>
      <c r="Q69">
        <v>176.926533544732</v>
      </c>
      <c r="R69">
        <f t="shared" si="8"/>
        <v>0.69004108246775353</v>
      </c>
      <c r="S69">
        <f t="shared" si="9"/>
        <v>11.040657319484056</v>
      </c>
      <c r="T69">
        <f t="shared" si="10"/>
        <v>22.081314638968113</v>
      </c>
      <c r="U69">
        <f t="shared" si="11"/>
        <v>1.3800821649355071</v>
      </c>
      <c r="V69">
        <v>12</v>
      </c>
      <c r="W69">
        <v>1</v>
      </c>
      <c r="X69">
        <v>8</v>
      </c>
      <c r="Y69">
        <f t="shared" si="12"/>
        <v>132.48788783380868</v>
      </c>
      <c r="Z69">
        <f t="shared" si="13"/>
        <v>22.081314638968113</v>
      </c>
      <c r="AA69">
        <f t="shared" si="14"/>
        <v>11.040657319484056</v>
      </c>
    </row>
    <row r="70" spans="1:27" x14ac:dyDescent="0.35">
      <c r="A70" s="4" t="s">
        <v>90</v>
      </c>
      <c r="B70" t="s">
        <v>64</v>
      </c>
      <c r="E70" t="s">
        <v>90</v>
      </c>
      <c r="J70" s="7" t="s">
        <v>186</v>
      </c>
      <c r="K70" t="s">
        <v>90</v>
      </c>
      <c r="M70">
        <v>18</v>
      </c>
      <c r="N70">
        <v>34</v>
      </c>
      <c r="O70">
        <v>2</v>
      </c>
      <c r="P70">
        <v>282.45999999999998</v>
      </c>
      <c r="Q70">
        <v>257.34768631195101</v>
      </c>
      <c r="R70">
        <f t="shared" si="8"/>
        <v>0.91109426577905195</v>
      </c>
      <c r="S70">
        <f t="shared" si="9"/>
        <v>16.399696784022936</v>
      </c>
      <c r="T70">
        <f t="shared" si="10"/>
        <v>30.977205036487767</v>
      </c>
      <c r="U70">
        <f t="shared" si="11"/>
        <v>1.8221885315581039</v>
      </c>
      <c r="V70">
        <v>12</v>
      </c>
      <c r="W70">
        <v>1</v>
      </c>
      <c r="X70">
        <v>8</v>
      </c>
      <c r="Y70">
        <f t="shared" si="12"/>
        <v>196.79636140827523</v>
      </c>
      <c r="Z70">
        <f t="shared" si="13"/>
        <v>30.977205036487767</v>
      </c>
      <c r="AA70">
        <f t="shared" si="14"/>
        <v>14.577508252464831</v>
      </c>
    </row>
    <row r="71" spans="1:27" x14ac:dyDescent="0.35">
      <c r="A71" s="4" t="s">
        <v>91</v>
      </c>
      <c r="B71" t="s">
        <v>92</v>
      </c>
      <c r="C71">
        <v>1</v>
      </c>
      <c r="D71">
        <v>4</v>
      </c>
      <c r="E71" t="s">
        <v>111</v>
      </c>
      <c r="F71">
        <v>2</v>
      </c>
      <c r="G71">
        <v>1</v>
      </c>
      <c r="J71" t="s">
        <v>202</v>
      </c>
      <c r="K71" t="s">
        <v>111</v>
      </c>
      <c r="M71">
        <v>16</v>
      </c>
      <c r="N71">
        <v>34</v>
      </c>
      <c r="P71">
        <v>226.41</v>
      </c>
      <c r="Q71">
        <v>1195.8624318826301</v>
      </c>
      <c r="R71">
        <f t="shared" si="8"/>
        <v>5.281844582318052</v>
      </c>
      <c r="S71">
        <f t="shared" si="9"/>
        <v>84.509513317088832</v>
      </c>
      <c r="T71">
        <f t="shared" si="10"/>
        <v>179.58271579881378</v>
      </c>
      <c r="U71">
        <f t="shared" si="11"/>
        <v>0</v>
      </c>
      <c r="V71">
        <v>12</v>
      </c>
      <c r="W71">
        <v>1</v>
      </c>
      <c r="X71">
        <v>8</v>
      </c>
      <c r="Y71">
        <f t="shared" si="12"/>
        <v>1014.114159805066</v>
      </c>
      <c r="Z71">
        <f t="shared" si="13"/>
        <v>179.58271579881378</v>
      </c>
      <c r="AA71">
        <f t="shared" si="14"/>
        <v>0</v>
      </c>
    </row>
    <row r="72" spans="1:27" x14ac:dyDescent="0.35">
      <c r="A72" s="4" t="s">
        <v>93</v>
      </c>
      <c r="B72" t="s">
        <v>94</v>
      </c>
      <c r="C72">
        <v>1</v>
      </c>
      <c r="D72">
        <v>6</v>
      </c>
      <c r="E72" t="s">
        <v>112</v>
      </c>
      <c r="F72">
        <v>2</v>
      </c>
      <c r="G72">
        <v>1</v>
      </c>
      <c r="J72" t="s">
        <v>203</v>
      </c>
      <c r="K72" t="s">
        <v>112</v>
      </c>
      <c r="M72">
        <v>18</v>
      </c>
      <c r="N72">
        <v>38</v>
      </c>
      <c r="P72">
        <v>254.494</v>
      </c>
      <c r="Q72">
        <v>236.31098600360701</v>
      </c>
      <c r="R72">
        <f t="shared" si="8"/>
        <v>0.92855228808383306</v>
      </c>
      <c r="S72">
        <f t="shared" si="9"/>
        <v>16.713941185508993</v>
      </c>
      <c r="T72">
        <f t="shared" si="10"/>
        <v>35.284986947185658</v>
      </c>
      <c r="U72">
        <f t="shared" si="11"/>
        <v>0</v>
      </c>
      <c r="V72">
        <v>12</v>
      </c>
      <c r="W72">
        <v>1</v>
      </c>
      <c r="X72">
        <v>8</v>
      </c>
      <c r="Y72">
        <f t="shared" si="12"/>
        <v>200.56729422610792</v>
      </c>
      <c r="Z72">
        <f t="shared" si="13"/>
        <v>35.284986947185658</v>
      </c>
      <c r="AA72">
        <f t="shared" si="14"/>
        <v>0</v>
      </c>
    </row>
    <row r="73" spans="1:27" x14ac:dyDescent="0.35">
      <c r="A73" s="4" t="s">
        <v>95</v>
      </c>
      <c r="B73" t="s">
        <v>96</v>
      </c>
      <c r="C73">
        <v>1</v>
      </c>
      <c r="D73">
        <v>5</v>
      </c>
      <c r="E73" t="s">
        <v>112</v>
      </c>
      <c r="F73">
        <v>2</v>
      </c>
      <c r="G73">
        <v>1</v>
      </c>
      <c r="J73" t="s">
        <v>204</v>
      </c>
      <c r="K73" t="s">
        <v>112</v>
      </c>
      <c r="M73">
        <v>18</v>
      </c>
      <c r="N73">
        <v>38</v>
      </c>
      <c r="P73">
        <v>254.494</v>
      </c>
      <c r="Q73">
        <v>3212.6880246658402</v>
      </c>
      <c r="R73">
        <f t="shared" si="8"/>
        <v>12.623826198911724</v>
      </c>
      <c r="S73">
        <f t="shared" si="9"/>
        <v>227.22887158041104</v>
      </c>
      <c r="T73">
        <f t="shared" si="10"/>
        <v>479.70539555864548</v>
      </c>
      <c r="U73">
        <f t="shared" si="11"/>
        <v>0</v>
      </c>
      <c r="V73">
        <v>12</v>
      </c>
      <c r="W73">
        <v>1</v>
      </c>
      <c r="X73">
        <v>8</v>
      </c>
      <c r="Y73">
        <f t="shared" si="12"/>
        <v>2726.7464589649326</v>
      </c>
      <c r="Z73">
        <f t="shared" si="13"/>
        <v>479.70539555864548</v>
      </c>
      <c r="AA73">
        <f t="shared" si="14"/>
        <v>0</v>
      </c>
    </row>
    <row r="74" spans="1:27" x14ac:dyDescent="0.35">
      <c r="A74" s="4" t="s">
        <v>97</v>
      </c>
      <c r="B74" t="s">
        <v>96</v>
      </c>
      <c r="C74">
        <v>1</v>
      </c>
      <c r="D74">
        <v>5</v>
      </c>
      <c r="E74" t="s">
        <v>112</v>
      </c>
      <c r="F74">
        <v>2</v>
      </c>
      <c r="G74">
        <v>1</v>
      </c>
      <c r="J74" t="s">
        <v>205</v>
      </c>
      <c r="K74" t="s">
        <v>112</v>
      </c>
      <c r="M74">
        <v>18</v>
      </c>
      <c r="N74">
        <v>38</v>
      </c>
      <c r="P74">
        <v>254.494</v>
      </c>
      <c r="Q74">
        <v>1104.4909410110299</v>
      </c>
      <c r="R74">
        <f t="shared" si="8"/>
        <v>4.3399488436310083</v>
      </c>
      <c r="S74">
        <f t="shared" si="9"/>
        <v>78.119079185358146</v>
      </c>
      <c r="T74">
        <f t="shared" si="10"/>
        <v>164.9180560579783</v>
      </c>
      <c r="U74">
        <f t="shared" si="11"/>
        <v>0</v>
      </c>
      <c r="V74">
        <v>12</v>
      </c>
      <c r="W74">
        <v>1</v>
      </c>
      <c r="X74">
        <v>8</v>
      </c>
      <c r="Y74">
        <f t="shared" si="12"/>
        <v>937.42895022429775</v>
      </c>
      <c r="Z74">
        <f t="shared" si="13"/>
        <v>164.9180560579783</v>
      </c>
      <c r="AA74">
        <f t="shared" si="14"/>
        <v>0</v>
      </c>
    </row>
    <row r="75" spans="1:27" x14ac:dyDescent="0.35">
      <c r="M75">
        <f>SUM(M42:M74)</f>
        <v>318</v>
      </c>
      <c r="N75">
        <f t="shared" ref="N75:O75" si="15">SUM(N42:N74)</f>
        <v>550</v>
      </c>
      <c r="O75">
        <f t="shared" si="15"/>
        <v>39</v>
      </c>
      <c r="S75">
        <f>SUM(S42:S74)</f>
        <v>2630.6961191686387</v>
      </c>
      <c r="T75">
        <f>SUM(T42:T74)</f>
        <v>3910.1265490922547</v>
      </c>
      <c r="U75">
        <f>SUM(U42:U74)</f>
        <v>544.87877351784789</v>
      </c>
      <c r="Y75">
        <f>SUM(Y42:Y74)</f>
        <v>31568.353430023661</v>
      </c>
      <c r="Z75">
        <f>SUM(Z42:Z74)</f>
        <v>3910.1265490922547</v>
      </c>
      <c r="AA75">
        <f>SUM(AA42:AA74)</f>
        <v>4359.0301881427831</v>
      </c>
    </row>
    <row r="76" spans="1:27" x14ac:dyDescent="0.35">
      <c r="B76" t="s">
        <v>768</v>
      </c>
      <c r="C76" t="s">
        <v>769</v>
      </c>
      <c r="X76" t="s">
        <v>802</v>
      </c>
      <c r="Y76">
        <f>Y75/(Y75+Z75+AA75)</f>
        <v>0.79242787256239677</v>
      </c>
      <c r="Z76">
        <f>Z75/(Y75+Z75+AA75)</f>
        <v>9.8151880794645527E-2</v>
      </c>
      <c r="AA76">
        <f>AA75/(Y75+Z75+AA75)</f>
        <v>0.10942024664295774</v>
      </c>
    </row>
    <row r="78" spans="1:27" x14ac:dyDescent="0.35">
      <c r="B78">
        <v>63.595327992415697</v>
      </c>
      <c r="C78">
        <v>0.75602592161593696</v>
      </c>
      <c r="D78">
        <v>2.5</v>
      </c>
      <c r="E78">
        <f>C78*D78</f>
        <v>1.8900648040398424</v>
      </c>
    </row>
    <row r="79" spans="1:27" x14ac:dyDescent="0.35">
      <c r="B79">
        <v>163.30898512879801</v>
      </c>
      <c r="C79">
        <v>1.98909777550958</v>
      </c>
      <c r="D79">
        <v>4</v>
      </c>
      <c r="E79">
        <f t="shared" ref="E79:E110" si="16">C79*D79</f>
        <v>7.95639110203832</v>
      </c>
      <c r="Y79" t="s">
        <v>807</v>
      </c>
      <c r="Z79" t="s">
        <v>16</v>
      </c>
      <c r="AA79">
        <f>AA75/Y75</f>
        <v>0.13808227907119944</v>
      </c>
    </row>
    <row r="80" spans="1:27" x14ac:dyDescent="0.35">
      <c r="B80">
        <v>322.55602959663702</v>
      </c>
      <c r="C80">
        <v>3.3554525484800801</v>
      </c>
      <c r="E80">
        <f t="shared" si="16"/>
        <v>0</v>
      </c>
      <c r="Y80" t="s">
        <v>806</v>
      </c>
      <c r="Z80" t="s">
        <v>16</v>
      </c>
      <c r="AA80">
        <f>U75/S75</f>
        <v>0.20712341860679914</v>
      </c>
    </row>
    <row r="81" spans="2:27" x14ac:dyDescent="0.35">
      <c r="B81">
        <v>68.881292377542593</v>
      </c>
      <c r="C81">
        <v>0.62555413700343598</v>
      </c>
      <c r="D81">
        <v>5.5</v>
      </c>
      <c r="E81">
        <f t="shared" si="16"/>
        <v>3.440547753518898</v>
      </c>
      <c r="Y81" t="s">
        <v>810</v>
      </c>
      <c r="Z81" t="s">
        <v>16</v>
      </c>
      <c r="AA81">
        <f>O75/M75</f>
        <v>0.12264150943396226</v>
      </c>
    </row>
    <row r="82" spans="2:27" x14ac:dyDescent="0.35">
      <c r="B82">
        <v>82.224066473898503</v>
      </c>
      <c r="C82">
        <v>0.95508939754400102</v>
      </c>
      <c r="D82">
        <v>4</v>
      </c>
      <c r="E82">
        <f t="shared" si="16"/>
        <v>3.8203575901760041</v>
      </c>
    </row>
    <row r="83" spans="2:27" x14ac:dyDescent="0.35">
      <c r="B83">
        <v>103.84443936887</v>
      </c>
      <c r="C83">
        <v>0.90976536143640796</v>
      </c>
      <c r="D83">
        <v>4</v>
      </c>
      <c r="E83">
        <f t="shared" si="16"/>
        <v>3.6390614457456318</v>
      </c>
    </row>
    <row r="84" spans="2:27" x14ac:dyDescent="0.35">
      <c r="B84">
        <v>130.47175451308601</v>
      </c>
      <c r="C84">
        <v>1.35725809166572</v>
      </c>
      <c r="D84">
        <v>4</v>
      </c>
      <c r="E84">
        <f t="shared" si="16"/>
        <v>5.4290323666628799</v>
      </c>
    </row>
    <row r="85" spans="2:27" x14ac:dyDescent="0.35">
      <c r="B85">
        <v>57.5761168904043</v>
      </c>
      <c r="C85">
        <v>0.52267894101267798</v>
      </c>
      <c r="E85">
        <f t="shared" si="16"/>
        <v>0</v>
      </c>
    </row>
    <row r="86" spans="2:27" x14ac:dyDescent="0.35">
      <c r="B86">
        <v>192.28077338707999</v>
      </c>
      <c r="C86">
        <v>1.7455347188898001</v>
      </c>
      <c r="E86">
        <f t="shared" si="16"/>
        <v>0</v>
      </c>
    </row>
    <row r="87" spans="2:27" x14ac:dyDescent="0.35">
      <c r="B87">
        <v>218.934658439928</v>
      </c>
      <c r="C87">
        <v>1.9525366868952301</v>
      </c>
      <c r="D87">
        <v>4</v>
      </c>
      <c r="E87">
        <f t="shared" si="16"/>
        <v>7.8101467475809203</v>
      </c>
      <c r="K87" t="s">
        <v>1369</v>
      </c>
    </row>
    <row r="88" spans="2:27" x14ac:dyDescent="0.35">
      <c r="B88">
        <v>46.269345813147602</v>
      </c>
      <c r="C88">
        <v>0.36676526859889702</v>
      </c>
      <c r="D88">
        <v>4</v>
      </c>
      <c r="E88">
        <f t="shared" si="16"/>
        <v>1.4670610743955881</v>
      </c>
    </row>
    <row r="89" spans="2:27" x14ac:dyDescent="0.35">
      <c r="B89">
        <v>110.03045989737601</v>
      </c>
      <c r="C89">
        <v>0.66212968551153395</v>
      </c>
      <c r="E89">
        <f t="shared" si="16"/>
        <v>0</v>
      </c>
    </row>
    <row r="90" spans="2:27" x14ac:dyDescent="0.35">
      <c r="B90">
        <v>121.34201080899101</v>
      </c>
      <c r="C90">
        <v>0.57718760088482102</v>
      </c>
      <c r="E90">
        <f t="shared" si="16"/>
        <v>0</v>
      </c>
    </row>
    <row r="91" spans="2:27" x14ac:dyDescent="0.35">
      <c r="B91">
        <v>147.050064099726</v>
      </c>
      <c r="C91">
        <v>0.52059245519623798</v>
      </c>
      <c r="D91">
        <v>3</v>
      </c>
      <c r="E91">
        <f t="shared" si="16"/>
        <v>1.5617773655887139</v>
      </c>
    </row>
    <row r="92" spans="2:27" x14ac:dyDescent="0.35">
      <c r="B92">
        <v>124.234097108014</v>
      </c>
      <c r="C92">
        <v>1.32005189831307</v>
      </c>
      <c r="E92">
        <f t="shared" si="16"/>
        <v>0</v>
      </c>
    </row>
    <row r="93" spans="2:27" x14ac:dyDescent="0.35">
      <c r="B93">
        <v>86.175584991810496</v>
      </c>
      <c r="C93">
        <v>0.79688966842041498</v>
      </c>
      <c r="E93">
        <f t="shared" si="16"/>
        <v>0</v>
      </c>
    </row>
    <row r="94" spans="2:27" x14ac:dyDescent="0.35">
      <c r="B94">
        <v>1536.7974712689199</v>
      </c>
      <c r="C94">
        <v>12.3796188932638</v>
      </c>
      <c r="E94">
        <f t="shared" si="16"/>
        <v>0</v>
      </c>
    </row>
    <row r="95" spans="2:27" x14ac:dyDescent="0.35">
      <c r="B95">
        <v>46.273986259376102</v>
      </c>
      <c r="C95">
        <v>0.37877710032002199</v>
      </c>
      <c r="E95">
        <f t="shared" si="16"/>
        <v>0</v>
      </c>
    </row>
    <row r="96" spans="2:27" x14ac:dyDescent="0.35">
      <c r="B96">
        <v>243.709815604146</v>
      </c>
      <c r="C96">
        <v>1.76388882088489</v>
      </c>
      <c r="E96">
        <f t="shared" si="16"/>
        <v>0</v>
      </c>
    </row>
    <row r="97" spans="1:6" x14ac:dyDescent="0.35">
      <c r="B97">
        <v>169.672378229175</v>
      </c>
      <c r="C97">
        <v>1.54090108464743</v>
      </c>
      <c r="E97">
        <f t="shared" si="16"/>
        <v>0</v>
      </c>
    </row>
    <row r="98" spans="1:6" x14ac:dyDescent="0.35">
      <c r="B98">
        <v>343.20237748650601</v>
      </c>
      <c r="C98">
        <v>2.4490189255796402</v>
      </c>
      <c r="E98">
        <f t="shared" si="16"/>
        <v>0</v>
      </c>
    </row>
    <row r="99" spans="1:6" x14ac:dyDescent="0.35">
      <c r="B99">
        <v>42.161153741225696</v>
      </c>
      <c r="C99">
        <v>0.33962771619198201</v>
      </c>
      <c r="E99">
        <f t="shared" si="16"/>
        <v>0</v>
      </c>
    </row>
    <row r="100" spans="1:6" x14ac:dyDescent="0.35">
      <c r="B100">
        <v>291.01431008983297</v>
      </c>
      <c r="C100">
        <v>1.9121389099283199</v>
      </c>
      <c r="E100">
        <f t="shared" si="16"/>
        <v>0</v>
      </c>
    </row>
    <row r="101" spans="1:6" x14ac:dyDescent="0.35">
      <c r="B101">
        <v>61.699215391185902</v>
      </c>
      <c r="C101">
        <v>0.49701589626224701</v>
      </c>
      <c r="E101">
        <f t="shared" si="16"/>
        <v>0</v>
      </c>
    </row>
    <row r="102" spans="1:6" x14ac:dyDescent="0.35">
      <c r="B102">
        <v>1285.40137239261</v>
      </c>
      <c r="C102">
        <v>8.3377963202725507</v>
      </c>
      <c r="E102">
        <f t="shared" si="16"/>
        <v>0</v>
      </c>
    </row>
    <row r="103" spans="1:6" x14ac:dyDescent="0.35">
      <c r="B103">
        <v>71.982347460251404</v>
      </c>
      <c r="C103">
        <v>0.43837124790231402</v>
      </c>
      <c r="D103">
        <v>5</v>
      </c>
      <c r="E103">
        <f t="shared" si="16"/>
        <v>2.1918562395115702</v>
      </c>
    </row>
    <row r="104" spans="1:6" x14ac:dyDescent="0.35">
      <c r="B104">
        <v>174.81463219376701</v>
      </c>
      <c r="C104">
        <v>1.05170661931195</v>
      </c>
      <c r="E104">
        <f t="shared" si="16"/>
        <v>0</v>
      </c>
    </row>
    <row r="105" spans="1:6" x14ac:dyDescent="0.35">
      <c r="B105">
        <v>28.2788584764543</v>
      </c>
      <c r="C105">
        <v>0.11027953823474999</v>
      </c>
      <c r="E105">
        <f t="shared" si="16"/>
        <v>0</v>
      </c>
    </row>
    <row r="106" spans="1:6" x14ac:dyDescent="0.35">
      <c r="B106">
        <v>41.132885062860503</v>
      </c>
      <c r="C106">
        <v>0.145620267187759</v>
      </c>
      <c r="E106">
        <f t="shared" si="16"/>
        <v>0</v>
      </c>
    </row>
    <row r="107" spans="1:6" x14ac:dyDescent="0.35">
      <c r="B107">
        <v>228.28750556941699</v>
      </c>
      <c r="C107">
        <v>0.84408446530928904</v>
      </c>
      <c r="D107">
        <v>4</v>
      </c>
      <c r="E107">
        <f t="shared" si="16"/>
        <v>3.3763378612371562</v>
      </c>
    </row>
    <row r="108" spans="1:6" x14ac:dyDescent="0.35">
      <c r="B108">
        <v>43.703690033257999</v>
      </c>
      <c r="C108">
        <v>0.14841083426217999</v>
      </c>
      <c r="D108">
        <v>6</v>
      </c>
      <c r="E108">
        <f t="shared" si="16"/>
        <v>0.89046500557307995</v>
      </c>
    </row>
    <row r="109" spans="1:6" x14ac:dyDescent="0.35">
      <c r="B109">
        <v>598.22639522662905</v>
      </c>
      <c r="C109">
        <v>2.0176702448883201</v>
      </c>
      <c r="D109">
        <v>5</v>
      </c>
      <c r="E109">
        <f t="shared" si="16"/>
        <v>10.088351224441601</v>
      </c>
    </row>
    <row r="110" spans="1:6" x14ac:dyDescent="0.35">
      <c r="B110">
        <v>205.66442465891799</v>
      </c>
      <c r="C110">
        <v>0.69365543442657895</v>
      </c>
      <c r="D110">
        <v>5</v>
      </c>
      <c r="E110">
        <f t="shared" si="16"/>
        <v>3.4682771721328947</v>
      </c>
    </row>
    <row r="111" spans="1:6" x14ac:dyDescent="0.35">
      <c r="E111">
        <f>SUM(E77:E110)</f>
        <v>57.029727752643097</v>
      </c>
      <c r="F111" t="s">
        <v>772</v>
      </c>
    </row>
    <row r="112" spans="1:6" x14ac:dyDescent="0.35">
      <c r="A112" t="s">
        <v>774</v>
      </c>
      <c r="B112">
        <f>SUM(B78:B110)</f>
        <v>7450.7978260322579</v>
      </c>
      <c r="E112">
        <f>E111*2</f>
        <v>114.05945550528619</v>
      </c>
      <c r="F112" t="s">
        <v>773</v>
      </c>
    </row>
    <row r="113" spans="1:6" x14ac:dyDescent="0.35">
      <c r="A113" t="s">
        <v>775</v>
      </c>
      <c r="B113">
        <v>46533.9</v>
      </c>
    </row>
    <row r="115" spans="1:6" x14ac:dyDescent="0.35">
      <c r="C115" t="s">
        <v>776</v>
      </c>
    </row>
    <row r="116" spans="1:6" x14ac:dyDescent="0.35">
      <c r="C116">
        <f>E112/B113</f>
        <v>2.4511045819345938E-3</v>
      </c>
      <c r="D116" t="s">
        <v>777</v>
      </c>
    </row>
    <row r="125" spans="1:6" x14ac:dyDescent="0.35">
      <c r="A125" t="s">
        <v>131</v>
      </c>
      <c r="B125">
        <v>2003.7512374358701</v>
      </c>
      <c r="C125" t="s">
        <v>102</v>
      </c>
      <c r="E125" t="s">
        <v>190</v>
      </c>
      <c r="F125">
        <v>1849.7544420803699</v>
      </c>
    </row>
    <row r="126" spans="1:6" x14ac:dyDescent="0.35">
      <c r="A126" t="s">
        <v>136</v>
      </c>
      <c r="B126">
        <v>358.44561217647401</v>
      </c>
      <c r="C126" t="s">
        <v>207</v>
      </c>
      <c r="E126" t="s">
        <v>686</v>
      </c>
      <c r="F126">
        <v>2616.0108414820302</v>
      </c>
    </row>
    <row r="127" spans="1:6" x14ac:dyDescent="0.35">
      <c r="A127" t="s">
        <v>137</v>
      </c>
      <c r="B127">
        <v>1200.2233298366</v>
      </c>
      <c r="C127" s="7" t="s">
        <v>131</v>
      </c>
      <c r="E127" t="s">
        <v>191</v>
      </c>
      <c r="F127">
        <v>371.75777066940299</v>
      </c>
    </row>
    <row r="128" spans="1:6" x14ac:dyDescent="0.35">
      <c r="A128" t="s">
        <v>140</v>
      </c>
      <c r="B128">
        <v>688.40363517955404</v>
      </c>
      <c r="C128" t="s">
        <v>199</v>
      </c>
    </row>
    <row r="129" spans="1:5" x14ac:dyDescent="0.35">
      <c r="A129" t="s">
        <v>141</v>
      </c>
      <c r="B129">
        <v>759.17565104109599</v>
      </c>
      <c r="C129" t="s">
        <v>208</v>
      </c>
    </row>
    <row r="130" spans="1:5" x14ac:dyDescent="0.35">
      <c r="A130" t="s">
        <v>143</v>
      </c>
      <c r="B130">
        <v>769.25820616100998</v>
      </c>
      <c r="C130" t="s">
        <v>200</v>
      </c>
    </row>
    <row r="131" spans="1:5" x14ac:dyDescent="0.35">
      <c r="A131" t="s">
        <v>144</v>
      </c>
      <c r="B131">
        <v>537.06900693476302</v>
      </c>
      <c r="C131" t="s">
        <v>201</v>
      </c>
    </row>
    <row r="132" spans="1:5" x14ac:dyDescent="0.35">
      <c r="A132" t="s">
        <v>687</v>
      </c>
      <c r="B132">
        <v>9609.57156269812</v>
      </c>
      <c r="C132" s="7" t="s">
        <v>136</v>
      </c>
    </row>
    <row r="133" spans="1:5" x14ac:dyDescent="0.35">
      <c r="A133" t="s">
        <v>146</v>
      </c>
      <c r="B133">
        <v>289.42117887952401</v>
      </c>
      <c r="C133" s="7" t="s">
        <v>137</v>
      </c>
    </row>
    <row r="134" spans="1:5" x14ac:dyDescent="0.35">
      <c r="A134" t="s">
        <v>688</v>
      </c>
      <c r="B134">
        <v>1524.3136953118701</v>
      </c>
      <c r="C134" s="9" t="s">
        <v>195</v>
      </c>
    </row>
    <row r="135" spans="1:5" x14ac:dyDescent="0.35">
      <c r="A135" t="s">
        <v>148</v>
      </c>
      <c r="B135">
        <v>1061.4151374349899</v>
      </c>
      <c r="C135" t="s">
        <v>196</v>
      </c>
    </row>
    <row r="136" spans="1:5" x14ac:dyDescent="0.35">
      <c r="A136" t="s">
        <v>150</v>
      </c>
      <c r="B136">
        <v>2147.2200958547</v>
      </c>
      <c r="C136" s="7" t="s">
        <v>140</v>
      </c>
    </row>
    <row r="137" spans="1:5" x14ac:dyDescent="0.35">
      <c r="A137" t="s">
        <v>181</v>
      </c>
      <c r="B137">
        <v>263.771412078548</v>
      </c>
      <c r="C137" s="7" t="s">
        <v>141</v>
      </c>
      <c r="E137" t="s">
        <v>788</v>
      </c>
    </row>
    <row r="138" spans="1:5" x14ac:dyDescent="0.35">
      <c r="A138" t="s">
        <v>182</v>
      </c>
      <c r="B138">
        <v>1820.57606987133</v>
      </c>
      <c r="C138" t="s">
        <v>197</v>
      </c>
      <c r="E138" t="s">
        <v>789</v>
      </c>
    </row>
    <row r="139" spans="1:5" x14ac:dyDescent="0.35">
      <c r="A139" t="s">
        <v>183</v>
      </c>
      <c r="B139">
        <v>386.00060755605898</v>
      </c>
      <c r="C139" s="7" t="s">
        <v>143</v>
      </c>
      <c r="E139" t="s">
        <v>790</v>
      </c>
    </row>
    <row r="140" spans="1:5" x14ac:dyDescent="0.35">
      <c r="A140" t="s">
        <v>153</v>
      </c>
      <c r="B140">
        <v>8041.8754333733696</v>
      </c>
      <c r="C140" s="7" t="s">
        <v>144</v>
      </c>
      <c r="E140" t="s">
        <v>791</v>
      </c>
    </row>
    <row r="141" spans="1:5" x14ac:dyDescent="0.35">
      <c r="A141" t="s">
        <v>185</v>
      </c>
      <c r="B141">
        <v>1093.70355273582</v>
      </c>
      <c r="C141" s="7" t="s">
        <v>145</v>
      </c>
      <c r="E141" t="s">
        <v>792</v>
      </c>
    </row>
    <row r="142" spans="1:5" x14ac:dyDescent="0.35">
      <c r="A142" t="s">
        <v>156</v>
      </c>
      <c r="B142">
        <v>176.926533544732</v>
      </c>
      <c r="C142" s="7" t="s">
        <v>146</v>
      </c>
      <c r="E142" t="s">
        <v>793</v>
      </c>
    </row>
    <row r="143" spans="1:5" x14ac:dyDescent="0.35">
      <c r="A143" t="s">
        <v>186</v>
      </c>
      <c r="B143">
        <v>257.34768631195101</v>
      </c>
      <c r="C143" s="7" t="s">
        <v>147</v>
      </c>
      <c r="E143" t="s">
        <v>794</v>
      </c>
    </row>
    <row r="144" spans="1:5" x14ac:dyDescent="0.35">
      <c r="A144" t="s">
        <v>690</v>
      </c>
      <c r="B144">
        <v>344.964773353905</v>
      </c>
      <c r="C144" s="7" t="s">
        <v>148</v>
      </c>
      <c r="E144" t="s">
        <v>795</v>
      </c>
    </row>
    <row r="145" spans="1:5" x14ac:dyDescent="0.35">
      <c r="A145" t="s">
        <v>691</v>
      </c>
      <c r="B145">
        <v>2.4912718120308899E-2</v>
      </c>
      <c r="C145" s="7" t="s">
        <v>150</v>
      </c>
      <c r="E145" t="s">
        <v>796</v>
      </c>
    </row>
    <row r="146" spans="1:5" x14ac:dyDescent="0.35">
      <c r="A146" t="s">
        <v>766</v>
      </c>
      <c r="B146">
        <v>281.14348173936003</v>
      </c>
      <c r="C146" s="7" t="s">
        <v>181</v>
      </c>
      <c r="E146" t="s">
        <v>797</v>
      </c>
    </row>
    <row r="147" spans="1:5" x14ac:dyDescent="0.35">
      <c r="A147" t="s">
        <v>767</v>
      </c>
      <c r="B147">
        <v>868.18466146109995</v>
      </c>
      <c r="C147" s="7" t="s">
        <v>182</v>
      </c>
      <c r="E147" t="s">
        <v>798</v>
      </c>
    </row>
    <row r="148" spans="1:5" x14ac:dyDescent="0.35">
      <c r="A148" t="s">
        <v>199</v>
      </c>
      <c r="B148">
        <v>331.07832876543199</v>
      </c>
      <c r="C148" s="7" t="s">
        <v>183</v>
      </c>
      <c r="E148" t="s">
        <v>799</v>
      </c>
    </row>
    <row r="149" spans="1:5" x14ac:dyDescent="0.35">
      <c r="A149" t="s">
        <v>200</v>
      </c>
      <c r="B149">
        <v>488.33550851410303</v>
      </c>
      <c r="C149" s="7" t="s">
        <v>153</v>
      </c>
      <c r="E149" t="s">
        <v>800</v>
      </c>
    </row>
    <row r="150" spans="1:5" x14ac:dyDescent="0.35">
      <c r="A150" t="s">
        <v>195</v>
      </c>
      <c r="B150">
        <v>1015.04086490585</v>
      </c>
      <c r="C150" t="s">
        <v>198</v>
      </c>
      <c r="E150" t="s">
        <v>801</v>
      </c>
    </row>
    <row r="151" spans="1:5" x14ac:dyDescent="0.35">
      <c r="A151" t="s">
        <v>196</v>
      </c>
      <c r="B151">
        <v>224.588963539449</v>
      </c>
      <c r="C151" s="7" t="s">
        <v>185</v>
      </c>
    </row>
    <row r="152" spans="1:5" x14ac:dyDescent="0.35">
      <c r="A152" t="s">
        <v>197</v>
      </c>
      <c r="B152">
        <v>822.36108806991899</v>
      </c>
      <c r="C152" s="7" t="s">
        <v>156</v>
      </c>
    </row>
    <row r="153" spans="1:5" x14ac:dyDescent="0.35">
      <c r="A153" t="s">
        <v>198</v>
      </c>
      <c r="B153">
        <v>428.55717327438401</v>
      </c>
      <c r="C153" s="7" t="s">
        <v>186</v>
      </c>
    </row>
    <row r="154" spans="1:5" x14ac:dyDescent="0.35">
      <c r="A154" t="s">
        <v>201</v>
      </c>
      <c r="B154">
        <v>712.12994904591596</v>
      </c>
      <c r="C154" t="s">
        <v>202</v>
      </c>
    </row>
    <row r="155" spans="1:5" x14ac:dyDescent="0.35">
      <c r="A155" t="s">
        <v>202</v>
      </c>
      <c r="B155">
        <v>1195.8624318826301</v>
      </c>
      <c r="C155" t="s">
        <v>203</v>
      </c>
    </row>
    <row r="156" spans="1:5" x14ac:dyDescent="0.35">
      <c r="A156" t="s">
        <v>203</v>
      </c>
      <c r="B156">
        <v>236.31098600360701</v>
      </c>
      <c r="C156" t="s">
        <v>204</v>
      </c>
    </row>
    <row r="157" spans="1:5" x14ac:dyDescent="0.35">
      <c r="A157" t="s">
        <v>204</v>
      </c>
      <c r="B157">
        <v>3212.6880246658402</v>
      </c>
      <c r="C157" t="s">
        <v>205</v>
      </c>
    </row>
    <row r="158" spans="1:5" x14ac:dyDescent="0.35">
      <c r="A158" t="s">
        <v>205</v>
      </c>
      <c r="B158">
        <v>1104.4909410110299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AA33-4B30-4465-B300-EA9A54F24FD5}">
  <dimension ref="A1:G48"/>
  <sheetViews>
    <sheetView workbookViewId="0">
      <selection activeCell="C49" sqref="C49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7" x14ac:dyDescent="0.35">
      <c r="E1">
        <v>214000</v>
      </c>
      <c r="F1" t="s">
        <v>1025</v>
      </c>
    </row>
    <row r="2" spans="1:7" x14ac:dyDescent="0.35">
      <c r="A2" s="166" t="s">
        <v>920</v>
      </c>
      <c r="B2" s="168" t="s">
        <v>750</v>
      </c>
      <c r="C2" s="169">
        <f>C3+C10+C11+C12</f>
        <v>181.39039292062179</v>
      </c>
      <c r="E2">
        <v>354725.6</v>
      </c>
      <c r="F2" t="s">
        <v>1026</v>
      </c>
    </row>
    <row r="3" spans="1:7" x14ac:dyDescent="0.35">
      <c r="A3" s="170" t="s">
        <v>921</v>
      </c>
      <c r="B3" s="168" t="s">
        <v>750</v>
      </c>
      <c r="C3" s="172">
        <f>C4+C9</f>
        <v>111.14607409351825</v>
      </c>
      <c r="E3">
        <v>180000</v>
      </c>
    </row>
    <row r="4" spans="1:7" x14ac:dyDescent="0.35">
      <c r="A4" s="173" t="s">
        <v>922</v>
      </c>
      <c r="B4" s="168" t="s">
        <v>750</v>
      </c>
      <c r="C4" s="175">
        <f>SUM(C5:C8)</f>
        <v>44.458429637407299</v>
      </c>
    </row>
    <row r="5" spans="1:7" x14ac:dyDescent="0.35">
      <c r="A5" s="176" t="s">
        <v>923</v>
      </c>
      <c r="B5" s="168" t="s">
        <v>750</v>
      </c>
      <c r="C5" s="178">
        <v>0</v>
      </c>
    </row>
    <row r="6" spans="1:7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</row>
    <row r="7" spans="1:7" x14ac:dyDescent="0.35">
      <c r="A7" s="176" t="s">
        <v>925</v>
      </c>
      <c r="B7" s="168" t="s">
        <v>750</v>
      </c>
      <c r="C7" s="178">
        <v>0</v>
      </c>
    </row>
    <row r="8" spans="1:7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</row>
    <row r="9" spans="1:7" x14ac:dyDescent="0.35">
      <c r="A9" s="179" t="s">
        <v>927</v>
      </c>
      <c r="B9" s="168" t="s">
        <v>750</v>
      </c>
      <c r="C9" s="175">
        <f>C4*'Expenses variable '!C3</f>
        <v>66.687644456110945</v>
      </c>
    </row>
    <row r="10" spans="1:7" x14ac:dyDescent="0.35">
      <c r="A10" s="180" t="s">
        <v>928</v>
      </c>
      <c r="B10" s="168" t="s">
        <v>750</v>
      </c>
      <c r="C10" s="172">
        <f>C3*'Expenses variable '!C4</f>
        <v>37.78966519179621</v>
      </c>
    </row>
    <row r="11" spans="1:7" x14ac:dyDescent="0.35">
      <c r="A11" s="180" t="s">
        <v>886</v>
      </c>
      <c r="B11" s="168" t="s">
        <v>750</v>
      </c>
      <c r="C11" s="172">
        <f>C4*'Expenses variable '!C5</f>
        <v>10.225438816603679</v>
      </c>
    </row>
    <row r="12" spans="1:7" x14ac:dyDescent="0.35">
      <c r="A12" s="170" t="s">
        <v>873</v>
      </c>
      <c r="B12" s="168" t="s">
        <v>750</v>
      </c>
      <c r="C12" s="172">
        <f>C4*'Expenses variable '!C6</f>
        <v>22.22921481870365</v>
      </c>
      <c r="E12">
        <v>25</v>
      </c>
      <c r="F12" t="s">
        <v>487</v>
      </c>
      <c r="G12" t="s">
        <v>1248</v>
      </c>
    </row>
    <row r="13" spans="1:7" x14ac:dyDescent="0.35">
      <c r="A13" s="166" t="s">
        <v>888</v>
      </c>
      <c r="B13" s="168" t="s">
        <v>750</v>
      </c>
      <c r="C13" s="169">
        <f>C41*'Expenses variable '!C7</f>
        <v>10.532037987722525</v>
      </c>
      <c r="E13">
        <v>3.1</v>
      </c>
      <c r="F13" t="s">
        <v>1216</v>
      </c>
      <c r="G13" t="s">
        <v>1110</v>
      </c>
    </row>
    <row r="14" spans="1:7" x14ac:dyDescent="0.35">
      <c r="A14" s="166" t="s">
        <v>929</v>
      </c>
      <c r="B14" s="168" t="s">
        <v>750</v>
      </c>
      <c r="C14" s="181">
        <f>'Expenses variable '!C8*C2</f>
        <v>18.139039292062179</v>
      </c>
      <c r="F14" s="128"/>
    </row>
    <row r="15" spans="1:7" x14ac:dyDescent="0.35">
      <c r="A15" s="182" t="s">
        <v>930</v>
      </c>
      <c r="B15" s="168" t="s">
        <v>750</v>
      </c>
      <c r="C15" s="184">
        <f>C2+C13+C14</f>
        <v>210.06147020040652</v>
      </c>
      <c r="F15" s="128"/>
    </row>
    <row r="16" spans="1:7" x14ac:dyDescent="0.35">
      <c r="A16" s="182" t="s">
        <v>931</v>
      </c>
      <c r="B16" s="168" t="s">
        <v>750</v>
      </c>
      <c r="C16" s="184">
        <f>C15*'Expenses variable '!C9</f>
        <v>189.05532318036586</v>
      </c>
      <c r="F16" s="155"/>
    </row>
    <row r="17" spans="1:6" x14ac:dyDescent="0.35">
      <c r="A17" s="182"/>
      <c r="B17" s="183"/>
      <c r="C17" s="185"/>
      <c r="F17" s="128"/>
    </row>
    <row r="18" spans="1:6" x14ac:dyDescent="0.35">
      <c r="A18" s="166" t="s">
        <v>860</v>
      </c>
      <c r="B18" s="183"/>
      <c r="C18" s="169">
        <f>C19+C28+C31</f>
        <v>37.935979336701791</v>
      </c>
      <c r="F18" s="128"/>
    </row>
    <row r="19" spans="1:6" x14ac:dyDescent="0.35">
      <c r="A19" s="170" t="s">
        <v>752</v>
      </c>
      <c r="B19" s="171" t="s">
        <v>1245</v>
      </c>
      <c r="C19" s="172">
        <f>SUM(C20:C27)</f>
        <v>17.595023657790364</v>
      </c>
      <c r="F19" s="128"/>
    </row>
    <row r="20" spans="1:6" x14ac:dyDescent="0.35">
      <c r="A20" s="176" t="s">
        <v>861</v>
      </c>
      <c r="B20" s="177" t="s">
        <v>1245</v>
      </c>
      <c r="C20" s="178">
        <f>E12*Refinery!C5/1000000</f>
        <v>11.448598130841122</v>
      </c>
      <c r="F20" s="128"/>
    </row>
    <row r="21" spans="1:6" x14ac:dyDescent="0.35">
      <c r="A21" s="176" t="s">
        <v>1215</v>
      </c>
      <c r="B21" s="177" t="s">
        <v>1245</v>
      </c>
      <c r="C21" s="344">
        <f>E13*'yields '!C32*Refinery!C4/1000000</f>
        <v>4.2494750399999989E-3</v>
      </c>
      <c r="F21" s="128"/>
    </row>
    <row r="22" spans="1:6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F22" s="128"/>
    </row>
    <row r="23" spans="1:6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</row>
    <row r="24" spans="1:6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</row>
    <row r="25" spans="1:6" ht="15" customHeight="1" x14ac:dyDescent="0.35">
      <c r="A25" s="176" t="s">
        <v>865</v>
      </c>
      <c r="B25" s="177" t="s">
        <v>1245</v>
      </c>
      <c r="C25" s="186">
        <f>('Mass balances '!G139/1000)*'Expenses variable '!C71/1000000</f>
        <v>2.8981992384729844E-4</v>
      </c>
    </row>
    <row r="26" spans="1:6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</row>
    <row r="27" spans="1:6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</row>
    <row r="28" spans="1:6" x14ac:dyDescent="0.35">
      <c r="A28" s="170" t="s">
        <v>868</v>
      </c>
      <c r="B28" s="171" t="s">
        <v>1245</v>
      </c>
      <c r="C28" s="187">
        <f t="shared" ref="C28" si="0">SUM(C29:C30)</f>
        <v>0.86399999999999988</v>
      </c>
    </row>
    <row r="29" spans="1:6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</row>
    <row r="30" spans="1:6" x14ac:dyDescent="0.35">
      <c r="A30" s="176" t="s">
        <v>870</v>
      </c>
      <c r="B30" s="177" t="s">
        <v>1245</v>
      </c>
      <c r="C30" s="186">
        <f>C29*'Expenses variable '!C30</f>
        <v>0.28799999999999998</v>
      </c>
    </row>
    <row r="31" spans="1:6" x14ac:dyDescent="0.35">
      <c r="A31" s="170" t="s">
        <v>871</v>
      </c>
      <c r="B31" s="171" t="s">
        <v>1245</v>
      </c>
      <c r="C31" s="172">
        <f>'Expenses variable '!C32*'Expenses variable '!C9*expenses_full_fuel_HTL_Up!C2</f>
        <v>19.476955678911427</v>
      </c>
    </row>
    <row r="32" spans="1:6" x14ac:dyDescent="0.35">
      <c r="A32" s="166" t="s">
        <v>872</v>
      </c>
      <c r="B32" s="188" t="s">
        <v>1245</v>
      </c>
      <c r="C32" s="169">
        <f>'Expenses variable '!C33*C28</f>
        <v>0.60479999999999989</v>
      </c>
    </row>
    <row r="33" spans="1:3" x14ac:dyDescent="0.35">
      <c r="A33" s="166" t="s">
        <v>873</v>
      </c>
      <c r="B33" s="188" t="s">
        <v>1245</v>
      </c>
      <c r="C33" s="169">
        <f>'Expenses variable '!C39*C18</f>
        <v>7.587195867340359</v>
      </c>
    </row>
    <row r="34" spans="1:3" x14ac:dyDescent="0.35">
      <c r="A34" s="166" t="s">
        <v>874</v>
      </c>
      <c r="B34" s="188" t="s">
        <v>1245</v>
      </c>
      <c r="C34" s="169">
        <f t="shared" ref="C34" si="1">SUM(C35:C37)</f>
        <v>30.189017264526704</v>
      </c>
    </row>
    <row r="35" spans="1:3" x14ac:dyDescent="0.35">
      <c r="A35" s="170" t="s">
        <v>875</v>
      </c>
      <c r="B35" s="171" t="s">
        <v>1245</v>
      </c>
      <c r="C35" s="172">
        <f>C2*'Expenses variable '!C35*'Expenses variable '!C9</f>
        <v>2.4487703044283942</v>
      </c>
    </row>
    <row r="36" spans="1:3" x14ac:dyDescent="0.35">
      <c r="A36" s="170" t="s">
        <v>876</v>
      </c>
      <c r="B36" s="171" t="s">
        <v>1245</v>
      </c>
      <c r="C36" s="172">
        <f>'Expenses variable '!C37*C2*'Expenses variable '!C9</f>
        <v>1.6325135362855963</v>
      </c>
    </row>
    <row r="37" spans="1:3" x14ac:dyDescent="0.35">
      <c r="A37" s="170" t="s">
        <v>877</v>
      </c>
      <c r="B37" s="171" t="s">
        <v>1245</v>
      </c>
      <c r="C37" s="172">
        <f>'Expenses variable '!C34*C16</f>
        <v>26.107733423812714</v>
      </c>
    </row>
    <row r="38" spans="1:3" x14ac:dyDescent="0.35">
      <c r="A38" s="166" t="s">
        <v>878</v>
      </c>
      <c r="B38" s="188" t="s">
        <v>1245</v>
      </c>
      <c r="C38" s="169">
        <f>C41*'Expenses variable '!C38</f>
        <v>5.2660189938612625</v>
      </c>
    </row>
    <row r="39" spans="1:3" x14ac:dyDescent="0.35">
      <c r="A39" s="182" t="s">
        <v>879</v>
      </c>
      <c r="B39" s="189" t="s">
        <v>1246</v>
      </c>
      <c r="C39" s="184">
        <f>SUM(C38+C34+C32+C18+C33)</f>
        <v>81.583011462430107</v>
      </c>
    </row>
    <row r="40" spans="1:3" x14ac:dyDescent="0.35">
      <c r="A40" s="182"/>
      <c r="B40" s="183"/>
      <c r="C40" s="168"/>
    </row>
    <row r="41" spans="1:3" x14ac:dyDescent="0.35">
      <c r="A41" s="188" t="s">
        <v>932</v>
      </c>
      <c r="B41" s="188" t="s">
        <v>1245</v>
      </c>
      <c r="C41" s="169">
        <f t="shared" ref="C41" si="2">SUM(C42:C44)</f>
        <v>52.660189938612625</v>
      </c>
    </row>
    <row r="42" spans="1:3" x14ac:dyDescent="0.35">
      <c r="A42" s="190" t="s">
        <v>933</v>
      </c>
      <c r="B42" s="177" t="s">
        <v>1245</v>
      </c>
      <c r="C42" s="178">
        <f>(8000/24)*'yields '!C8*Refinery!B1*'Expenses variable '!C50/1000000</f>
        <v>52.579911492019356</v>
      </c>
    </row>
    <row r="43" spans="1:3" x14ac:dyDescent="0.35">
      <c r="A43" s="212" t="s">
        <v>974</v>
      </c>
      <c r="B43" s="213" t="s">
        <v>1247</v>
      </c>
      <c r="C43" s="178">
        <v>0</v>
      </c>
    </row>
    <row r="44" spans="1:3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</row>
    <row r="45" spans="1:3" x14ac:dyDescent="0.35">
      <c r="A45" s="188" t="s">
        <v>935</v>
      </c>
      <c r="B45" s="188" t="s">
        <v>1245</v>
      </c>
      <c r="C45" s="169">
        <f>C41-C19</f>
        <v>35.065166280822261</v>
      </c>
    </row>
    <row r="46" spans="1:3" x14ac:dyDescent="0.35">
      <c r="A46" s="188" t="s">
        <v>936</v>
      </c>
      <c r="B46" s="188" t="s">
        <v>1245</v>
      </c>
      <c r="C46" s="169">
        <f t="shared" ref="C46" si="3">C41-C39</f>
        <v>-28.922821523817483</v>
      </c>
    </row>
    <row r="47" spans="1:3" x14ac:dyDescent="0.35">
      <c r="A47" s="191" t="s">
        <v>937</v>
      </c>
      <c r="B47" s="191" t="s">
        <v>1251</v>
      </c>
      <c r="C47" s="169">
        <f>(C39-C44)*1000000/((8000/24)*'yields '!C8*Refinery!B1)</f>
        <v>1379.5655094456483</v>
      </c>
    </row>
    <row r="48" spans="1:3" x14ac:dyDescent="0.35">
      <c r="A48" s="188" t="s">
        <v>1250</v>
      </c>
      <c r="C48">
        <f>C47/'Expenses variable '!C50</f>
        <v>1.5500736061187059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6"/>
  <sheetViews>
    <sheetView workbookViewId="0">
      <selection activeCell="H13" sqref="H13"/>
    </sheetView>
  </sheetViews>
  <sheetFormatPr defaultRowHeight="14.5" x14ac:dyDescent="0.35"/>
  <cols>
    <col min="1" max="1" width="24.453125" customWidth="1"/>
  </cols>
  <sheetData>
    <row r="1" spans="1:1" x14ac:dyDescent="0.35">
      <c r="A1" t="s">
        <v>265</v>
      </c>
    </row>
    <row r="2" spans="1:1" x14ac:dyDescent="0.35">
      <c r="A2" t="s">
        <v>266</v>
      </c>
    </row>
    <row r="5" spans="1:1" x14ac:dyDescent="0.35">
      <c r="A5" t="s">
        <v>263</v>
      </c>
    </row>
    <row r="6" spans="1:1" x14ac:dyDescent="0.35">
      <c r="A6" t="s">
        <v>264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879EE-9B6F-4CA2-9C7B-0C2838C721FF}">
  <dimension ref="A1:X113"/>
  <sheetViews>
    <sheetView topLeftCell="A11" workbookViewId="0">
      <selection activeCell="I59" sqref="I59:K62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11.26953125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50" t="s">
        <v>1076</v>
      </c>
      <c r="B1" s="351"/>
      <c r="C1" s="351"/>
      <c r="D1" s="130"/>
      <c r="E1" s="350" t="s">
        <v>1077</v>
      </c>
      <c r="F1" s="351"/>
      <c r="G1" s="351"/>
      <c r="H1" s="130"/>
      <c r="I1" s="350" t="s">
        <v>1078</v>
      </c>
      <c r="J1" s="351"/>
      <c r="K1" s="351"/>
      <c r="L1" s="156"/>
      <c r="M1" s="350" t="s">
        <v>1079</v>
      </c>
      <c r="N1" s="351"/>
      <c r="O1" s="351"/>
      <c r="P1" s="156"/>
      <c r="Q1" s="350" t="s">
        <v>1080</v>
      </c>
      <c r="R1" s="351"/>
      <c r="S1" s="351"/>
      <c r="T1" s="156"/>
      <c r="U1" s="350" t="s">
        <v>1081</v>
      </c>
      <c r="V1" s="351"/>
      <c r="W1" s="351"/>
      <c r="X1" s="156"/>
    </row>
    <row r="2" spans="1:24" ht="15.75" customHeight="1" x14ac:dyDescent="0.35">
      <c r="A2" s="166" t="s">
        <v>1082</v>
      </c>
      <c r="B2" s="166" t="s">
        <v>1083</v>
      </c>
      <c r="C2" s="166" t="s">
        <v>1084</v>
      </c>
      <c r="D2" s="130"/>
      <c r="E2" s="166" t="s">
        <v>1082</v>
      </c>
      <c r="F2" s="166" t="s">
        <v>1083</v>
      </c>
      <c r="G2" s="166" t="s">
        <v>1084</v>
      </c>
      <c r="H2" s="130"/>
      <c r="I2" s="166" t="s">
        <v>1082</v>
      </c>
      <c r="J2" s="166" t="s">
        <v>1083</v>
      </c>
      <c r="K2" s="166" t="s">
        <v>1084</v>
      </c>
      <c r="L2" s="166"/>
      <c r="M2" s="166" t="s">
        <v>1082</v>
      </c>
      <c r="N2" s="166" t="s">
        <v>1083</v>
      </c>
      <c r="O2" s="166" t="s">
        <v>1084</v>
      </c>
      <c r="P2" s="166"/>
      <c r="Q2" s="166" t="s">
        <v>1082</v>
      </c>
      <c r="R2" s="270" t="s">
        <v>1083</v>
      </c>
      <c r="S2" s="166" t="s">
        <v>1084</v>
      </c>
      <c r="T2" s="166"/>
      <c r="U2" s="166" t="s">
        <v>1082</v>
      </c>
      <c r="V2" s="270" t="s">
        <v>1083</v>
      </c>
      <c r="W2" s="166" t="s">
        <v>1084</v>
      </c>
      <c r="X2" s="166"/>
    </row>
    <row r="3" spans="1:24" ht="15.75" customHeight="1" x14ac:dyDescent="0.35">
      <c r="A3" s="271" t="s">
        <v>1127</v>
      </c>
      <c r="B3" s="272"/>
      <c r="C3" s="273"/>
      <c r="D3" s="130"/>
      <c r="E3" s="274" t="s">
        <v>1085</v>
      </c>
      <c r="F3" s="216"/>
      <c r="G3" s="216"/>
      <c r="H3" s="130"/>
      <c r="I3" s="352" t="s">
        <v>1086</v>
      </c>
      <c r="J3" s="351"/>
      <c r="K3" s="351"/>
      <c r="L3" s="156"/>
      <c r="M3" s="352" t="s">
        <v>1087</v>
      </c>
      <c r="N3" s="351"/>
      <c r="O3" s="351"/>
      <c r="P3" s="130"/>
      <c r="Q3" s="352" t="s">
        <v>1088</v>
      </c>
      <c r="R3" s="351"/>
      <c r="S3" s="351"/>
      <c r="T3" s="130"/>
      <c r="U3" s="352" t="s">
        <v>1089</v>
      </c>
      <c r="V3" s="351"/>
      <c r="W3" s="351"/>
      <c r="X3" s="130"/>
    </row>
    <row r="4" spans="1:24" ht="15.75" customHeight="1" x14ac:dyDescent="0.35">
      <c r="A4" s="275" t="s">
        <v>1132</v>
      </c>
      <c r="B4" s="296">
        <f>3600</f>
        <v>3600</v>
      </c>
      <c r="C4" s="276" t="s">
        <v>1133</v>
      </c>
      <c r="D4" s="130"/>
      <c r="E4" s="277" t="s">
        <v>1090</v>
      </c>
      <c r="F4" s="278">
        <f>0.17*F21</f>
        <v>0.17340000000000003</v>
      </c>
      <c r="G4" s="279" t="s">
        <v>1091</v>
      </c>
      <c r="H4" s="130"/>
      <c r="I4" s="277" t="s">
        <v>1092</v>
      </c>
      <c r="J4" s="280">
        <v>45.8</v>
      </c>
      <c r="K4" s="279" t="s">
        <v>558</v>
      </c>
      <c r="L4" s="130"/>
      <c r="M4" s="277" t="s">
        <v>10</v>
      </c>
      <c r="N4" s="281">
        <v>12.01</v>
      </c>
      <c r="O4" s="279" t="s">
        <v>1093</v>
      </c>
      <c r="P4" s="130"/>
      <c r="Q4" s="277" t="s">
        <v>510</v>
      </c>
      <c r="R4" s="282">
        <f>4.182/1000</f>
        <v>4.182E-3</v>
      </c>
      <c r="S4" s="279" t="s">
        <v>1094</v>
      </c>
      <c r="T4" s="130"/>
      <c r="U4" s="277" t="s">
        <v>1095</v>
      </c>
      <c r="V4" s="283">
        <v>25</v>
      </c>
      <c r="W4" s="279" t="s">
        <v>1096</v>
      </c>
      <c r="X4" s="130"/>
    </row>
    <row r="5" spans="1:24" ht="15.75" customHeight="1" x14ac:dyDescent="0.35">
      <c r="A5" s="275" t="s">
        <v>1136</v>
      </c>
      <c r="B5" s="130">
        <v>3.6</v>
      </c>
      <c r="C5" s="276" t="s">
        <v>1137</v>
      </c>
      <c r="D5" s="130"/>
      <c r="E5" s="275" t="s">
        <v>1097</v>
      </c>
      <c r="F5" s="155">
        <v>1.1160000000000001</v>
      </c>
      <c r="G5" s="276" t="s">
        <v>1098</v>
      </c>
      <c r="H5" s="130"/>
      <c r="I5" s="275" t="s">
        <v>1099</v>
      </c>
      <c r="J5" s="130">
        <v>43.3</v>
      </c>
      <c r="K5" s="276" t="s">
        <v>558</v>
      </c>
      <c r="L5" s="130"/>
      <c r="M5" s="275" t="s">
        <v>12</v>
      </c>
      <c r="N5" s="287">
        <v>1.01</v>
      </c>
      <c r="O5" s="276" t="s">
        <v>1093</v>
      </c>
      <c r="P5" s="130"/>
      <c r="Q5" s="275" t="s">
        <v>664</v>
      </c>
      <c r="R5" s="288">
        <f>1.005/1000</f>
        <v>1.0049999999999998E-3</v>
      </c>
      <c r="S5" s="276" t="s">
        <v>1094</v>
      </c>
      <c r="T5" s="130"/>
      <c r="U5" s="275" t="s">
        <v>1100</v>
      </c>
      <c r="V5" s="140">
        <v>298</v>
      </c>
      <c r="W5" s="276" t="s">
        <v>1101</v>
      </c>
      <c r="X5" s="130"/>
    </row>
    <row r="6" spans="1:24" ht="15.75" customHeight="1" x14ac:dyDescent="0.35">
      <c r="A6" s="284" t="s">
        <v>1141</v>
      </c>
      <c r="B6" s="293">
        <v>1.1000000000000001</v>
      </c>
      <c r="C6" s="286" t="s">
        <v>1142</v>
      </c>
      <c r="D6" s="130"/>
      <c r="E6" s="275" t="s">
        <v>1102</v>
      </c>
      <c r="F6" s="207">
        <f>1.28*F10</f>
        <v>1.4080000000000001</v>
      </c>
      <c r="G6" s="276" t="s">
        <v>1103</v>
      </c>
      <c r="H6" s="130"/>
      <c r="I6" s="275" t="s">
        <v>1104</v>
      </c>
      <c r="J6" s="130">
        <v>45.3</v>
      </c>
      <c r="K6" s="276" t="s">
        <v>558</v>
      </c>
      <c r="L6" s="130"/>
      <c r="M6" s="275" t="s">
        <v>11</v>
      </c>
      <c r="N6" s="287">
        <v>14.01</v>
      </c>
      <c r="O6" s="276" t="s">
        <v>1093</v>
      </c>
      <c r="P6" s="130"/>
      <c r="Q6" s="275" t="s">
        <v>1105</v>
      </c>
      <c r="R6" s="288">
        <f>0.918/1000</f>
        <v>9.1800000000000009E-4</v>
      </c>
      <c r="S6" s="276" t="s">
        <v>1094</v>
      </c>
      <c r="T6" s="130"/>
      <c r="U6" s="284" t="s">
        <v>1106</v>
      </c>
      <c r="V6" s="289">
        <v>0</v>
      </c>
      <c r="W6" s="286" t="s">
        <v>1107</v>
      </c>
      <c r="X6" s="130"/>
    </row>
    <row r="7" spans="1:24" ht="15.75" customHeight="1" x14ac:dyDescent="0.35">
      <c r="A7" s="274" t="s">
        <v>1151</v>
      </c>
      <c r="B7" s="216"/>
      <c r="C7" s="216"/>
      <c r="D7" s="130"/>
      <c r="E7" s="275" t="s">
        <v>1108</v>
      </c>
      <c r="F7" s="207">
        <f>1.2314*F10</f>
        <v>1.3545400000000001</v>
      </c>
      <c r="G7" s="276" t="s">
        <v>1103</v>
      </c>
      <c r="H7" s="130"/>
      <c r="I7" s="275" t="s">
        <v>1109</v>
      </c>
      <c r="J7" s="130">
        <v>40.4</v>
      </c>
      <c r="K7" s="276" t="s">
        <v>558</v>
      </c>
      <c r="L7" s="130"/>
      <c r="M7" s="275" t="s">
        <v>13</v>
      </c>
      <c r="N7" s="287">
        <v>32</v>
      </c>
      <c r="O7" s="276" t="s">
        <v>1093</v>
      </c>
      <c r="P7" s="130"/>
      <c r="Q7" s="275" t="s">
        <v>1110</v>
      </c>
      <c r="R7" s="288">
        <f>14.304/1000</f>
        <v>1.4304000000000001E-2</v>
      </c>
      <c r="S7" s="276" t="s">
        <v>1094</v>
      </c>
      <c r="T7" s="130"/>
      <c r="U7" s="130"/>
      <c r="V7" s="130"/>
      <c r="W7" s="130"/>
      <c r="X7" s="130"/>
    </row>
    <row r="8" spans="1:24" ht="15.75" customHeight="1" x14ac:dyDescent="0.35">
      <c r="A8" s="277" t="s">
        <v>1156</v>
      </c>
      <c r="B8" s="280">
        <v>2.5</v>
      </c>
      <c r="C8" s="279" t="s">
        <v>1157</v>
      </c>
      <c r="D8" s="130"/>
      <c r="E8" s="275" t="s">
        <v>1111</v>
      </c>
      <c r="F8" s="207">
        <f>1.116*F20</f>
        <v>1.2130920000000001</v>
      </c>
      <c r="G8" s="276" t="s">
        <v>1103</v>
      </c>
      <c r="H8" s="130"/>
      <c r="I8" s="275" t="s">
        <v>1112</v>
      </c>
      <c r="J8" s="130">
        <v>43</v>
      </c>
      <c r="K8" s="276" t="s">
        <v>558</v>
      </c>
      <c r="L8" s="130"/>
      <c r="M8" s="275" t="s">
        <v>14</v>
      </c>
      <c r="N8" s="287">
        <v>16</v>
      </c>
      <c r="O8" s="276" t="s">
        <v>1093</v>
      </c>
      <c r="P8" s="130"/>
      <c r="Q8" s="275" t="s">
        <v>1113</v>
      </c>
      <c r="R8" s="288">
        <f>3.985/1000</f>
        <v>3.9849999999999998E-3</v>
      </c>
      <c r="S8" s="276" t="s">
        <v>1094</v>
      </c>
      <c r="T8" s="130"/>
      <c r="U8" s="352"/>
      <c r="V8" s="351"/>
      <c r="W8" s="351"/>
      <c r="X8" s="130"/>
    </row>
    <row r="9" spans="1:24" ht="15.75" customHeight="1" x14ac:dyDescent="0.35">
      <c r="A9" s="284" t="s">
        <v>1161</v>
      </c>
      <c r="B9" s="285">
        <f>0.0025*J7</f>
        <v>0.10099999999999999</v>
      </c>
      <c r="C9" s="286" t="s">
        <v>1157</v>
      </c>
      <c r="D9" s="130"/>
      <c r="E9" s="275" t="s">
        <v>1114</v>
      </c>
      <c r="F9" s="207">
        <f>1.0046*F10</f>
        <v>1.1050599999999999</v>
      </c>
      <c r="G9" s="276" t="s">
        <v>1103</v>
      </c>
      <c r="H9" s="130"/>
      <c r="I9" s="275" t="s">
        <v>1115</v>
      </c>
      <c r="J9" s="130">
        <v>35</v>
      </c>
      <c r="K9" s="276" t="s">
        <v>558</v>
      </c>
      <c r="L9" s="130"/>
      <c r="M9" s="275"/>
      <c r="N9" s="130"/>
      <c r="O9" s="276"/>
      <c r="P9" s="130"/>
      <c r="Q9" s="275" t="s">
        <v>1116</v>
      </c>
      <c r="R9" s="288">
        <f>0.83/1000</f>
        <v>8.3000000000000001E-4</v>
      </c>
      <c r="S9" s="276" t="s">
        <v>1094</v>
      </c>
      <c r="T9" s="130"/>
      <c r="U9" s="277"/>
      <c r="V9" s="278"/>
      <c r="W9" s="279"/>
      <c r="X9" s="130"/>
    </row>
    <row r="10" spans="1:24" ht="15.75" customHeight="1" x14ac:dyDescent="0.35">
      <c r="A10" s="275"/>
      <c r="B10" s="130"/>
      <c r="C10" s="276"/>
      <c r="D10" s="130"/>
      <c r="E10" s="275" t="s">
        <v>1117</v>
      </c>
      <c r="F10" s="207">
        <v>1.1000000000000001</v>
      </c>
      <c r="G10" s="276" t="s">
        <v>1103</v>
      </c>
      <c r="H10" s="130"/>
      <c r="I10" s="275" t="s">
        <v>1118</v>
      </c>
      <c r="J10" s="290">
        <v>35.6</v>
      </c>
      <c r="K10" s="276" t="s">
        <v>558</v>
      </c>
      <c r="L10" s="156"/>
      <c r="M10" s="275" t="s">
        <v>570</v>
      </c>
      <c r="N10" s="130">
        <f>N4+N8</f>
        <v>28.009999999999998</v>
      </c>
      <c r="O10" s="276" t="s">
        <v>1093</v>
      </c>
      <c r="P10" s="130"/>
      <c r="Q10" s="291" t="s">
        <v>1119</v>
      </c>
      <c r="R10" s="292">
        <v>8.4400000000000002E-4</v>
      </c>
      <c r="S10" s="276" t="s">
        <v>1094</v>
      </c>
      <c r="T10" s="130"/>
      <c r="U10" s="275"/>
      <c r="V10" s="207"/>
      <c r="W10" s="276"/>
      <c r="X10" s="130"/>
    </row>
    <row r="11" spans="1:24" ht="15.75" customHeight="1" x14ac:dyDescent="0.35">
      <c r="A11" s="274" t="s">
        <v>1189</v>
      </c>
      <c r="B11" s="274"/>
      <c r="C11" s="274"/>
      <c r="D11" s="130"/>
      <c r="E11" s="275" t="s">
        <v>1120</v>
      </c>
      <c r="F11" s="207">
        <f>1*0.9986*F10</f>
        <v>1.0984600000000002</v>
      </c>
      <c r="G11" s="276" t="s">
        <v>1103</v>
      </c>
      <c r="H11" s="130"/>
      <c r="I11" s="291" t="s">
        <v>1121</v>
      </c>
      <c r="J11" s="167">
        <f>J8*1.003</f>
        <v>43.128999999999998</v>
      </c>
      <c r="K11" s="294" t="s">
        <v>558</v>
      </c>
      <c r="L11" s="130"/>
      <c r="M11" s="275" t="s">
        <v>116</v>
      </c>
      <c r="N11" s="130">
        <f>N4+N8*2</f>
        <v>44.01</v>
      </c>
      <c r="O11" s="276" t="s">
        <v>1093</v>
      </c>
      <c r="P11" s="130"/>
      <c r="Q11" s="291" t="s">
        <v>1122</v>
      </c>
      <c r="R11" s="292">
        <v>3.0000000000000001E-3</v>
      </c>
      <c r="S11" s="276" t="s">
        <v>1094</v>
      </c>
      <c r="T11" s="130"/>
      <c r="U11" s="275"/>
      <c r="V11" s="207"/>
      <c r="W11" s="276"/>
      <c r="X11" s="130"/>
    </row>
    <row r="12" spans="1:24" ht="15.75" customHeight="1" x14ac:dyDescent="0.35">
      <c r="A12" s="303">
        <v>2000</v>
      </c>
      <c r="B12" s="280">
        <v>394.1</v>
      </c>
      <c r="C12" s="279" t="s">
        <v>1190</v>
      </c>
      <c r="D12" s="130"/>
      <c r="E12" s="275" t="s">
        <v>1123</v>
      </c>
      <c r="F12" s="207">
        <v>1.5</v>
      </c>
      <c r="G12" s="276" t="s">
        <v>1124</v>
      </c>
      <c r="H12" s="130"/>
      <c r="I12" s="275" t="s">
        <v>1125</v>
      </c>
      <c r="J12" s="130">
        <v>9.5</v>
      </c>
      <c r="K12" s="276" t="s">
        <v>558</v>
      </c>
      <c r="L12" s="130"/>
      <c r="M12" s="275" t="s">
        <v>118</v>
      </c>
      <c r="N12" s="130">
        <f>N4+N5*4</f>
        <v>16.05</v>
      </c>
      <c r="O12" s="276" t="s">
        <v>1093</v>
      </c>
      <c r="P12" s="130"/>
      <c r="Q12" s="291" t="s">
        <v>1126</v>
      </c>
      <c r="R12" s="292">
        <v>1E-3</v>
      </c>
      <c r="S12" s="276" t="s">
        <v>1094</v>
      </c>
      <c r="T12" s="130"/>
      <c r="U12" s="275"/>
      <c r="V12" s="207"/>
      <c r="W12" s="276"/>
      <c r="X12" s="130"/>
    </row>
    <row r="13" spans="1:24" ht="15.75" customHeight="1" x14ac:dyDescent="0.35">
      <c r="A13" s="304">
        <v>2001</v>
      </c>
      <c r="B13" s="130">
        <v>394.3</v>
      </c>
      <c r="C13" s="276" t="s">
        <v>1190</v>
      </c>
      <c r="D13" s="130"/>
      <c r="E13" s="275" t="s">
        <v>1128</v>
      </c>
      <c r="F13" s="207">
        <v>0.125</v>
      </c>
      <c r="G13" s="276" t="s">
        <v>1129</v>
      </c>
      <c r="H13" s="130"/>
      <c r="I13" s="275" t="s">
        <v>1130</v>
      </c>
      <c r="J13" s="130">
        <v>40</v>
      </c>
      <c r="K13" s="276" t="s">
        <v>558</v>
      </c>
      <c r="L13" s="130"/>
      <c r="M13" s="275" t="s">
        <v>117</v>
      </c>
      <c r="N13" s="130">
        <f>N5*2</f>
        <v>2.02</v>
      </c>
      <c r="O13" s="276" t="s">
        <v>1093</v>
      </c>
      <c r="P13" s="130"/>
      <c r="Q13" s="141" t="s">
        <v>1131</v>
      </c>
      <c r="R13" s="295">
        <v>1.5E-3</v>
      </c>
      <c r="S13" s="286" t="s">
        <v>1094</v>
      </c>
      <c r="T13" s="130"/>
      <c r="U13" s="284"/>
      <c r="V13" s="285"/>
      <c r="W13" s="286"/>
      <c r="X13" s="130"/>
    </row>
    <row r="14" spans="1:24" ht="15.75" customHeight="1" x14ac:dyDescent="0.35">
      <c r="A14" s="304">
        <v>2002</v>
      </c>
      <c r="B14" s="130">
        <v>395.6</v>
      </c>
      <c r="C14" s="276" t="s">
        <v>1190</v>
      </c>
      <c r="D14" s="130"/>
      <c r="E14" s="275" t="s">
        <v>1134</v>
      </c>
      <c r="F14" s="207">
        <f>0.125*F23</f>
        <v>0.124</v>
      </c>
      <c r="G14" s="276" t="s">
        <v>1129</v>
      </c>
      <c r="H14" s="130"/>
      <c r="I14" s="275" t="s">
        <v>1135</v>
      </c>
      <c r="J14" s="130">
        <v>48</v>
      </c>
      <c r="K14" s="276" t="s">
        <v>558</v>
      </c>
      <c r="L14" s="130"/>
      <c r="M14" s="275" t="s">
        <v>512</v>
      </c>
      <c r="N14" s="130">
        <f>N5*2+N8</f>
        <v>18.02</v>
      </c>
      <c r="O14" s="276" t="s">
        <v>1093</v>
      </c>
      <c r="P14" s="130"/>
      <c r="Q14" s="128"/>
      <c r="R14" s="128"/>
      <c r="S14" s="130"/>
      <c r="T14" s="130"/>
      <c r="U14" s="130"/>
      <c r="V14" s="207"/>
      <c r="W14" s="130"/>
      <c r="X14" s="130"/>
    </row>
    <row r="15" spans="1:24" ht="15.75" customHeight="1" x14ac:dyDescent="0.35">
      <c r="A15" s="304">
        <v>2003</v>
      </c>
      <c r="B15" s="130">
        <v>402</v>
      </c>
      <c r="C15" s="276" t="s">
        <v>1190</v>
      </c>
      <c r="D15" s="130"/>
      <c r="E15" s="275" t="s">
        <v>1138</v>
      </c>
      <c r="F15" s="207">
        <f>0.1297*F18</f>
        <v>0.16705360000000002</v>
      </c>
      <c r="G15" s="276" t="s">
        <v>1139</v>
      </c>
      <c r="H15" s="130"/>
      <c r="I15" s="275" t="s">
        <v>663</v>
      </c>
      <c r="J15" s="130">
        <v>50</v>
      </c>
      <c r="K15" s="276" t="s">
        <v>558</v>
      </c>
      <c r="L15" s="130"/>
      <c r="M15" s="275" t="s">
        <v>1140</v>
      </c>
      <c r="N15" s="130">
        <f>N5*2+N7</f>
        <v>34.020000000000003</v>
      </c>
      <c r="O15" s="276" t="s">
        <v>1093</v>
      </c>
      <c r="P15" s="130"/>
      <c r="Q15" s="128"/>
      <c r="R15" s="128"/>
      <c r="S15" s="130"/>
      <c r="T15" s="130"/>
      <c r="U15" s="130"/>
      <c r="V15" s="140"/>
      <c r="W15" s="130"/>
      <c r="X15" s="130"/>
    </row>
    <row r="16" spans="1:24" ht="15.75" customHeight="1" x14ac:dyDescent="0.35">
      <c r="A16" s="304">
        <v>2004</v>
      </c>
      <c r="B16" s="130">
        <v>444.2</v>
      </c>
      <c r="C16" s="276" t="s">
        <v>1190</v>
      </c>
      <c r="D16" s="130"/>
      <c r="E16" s="275" t="s">
        <v>1143</v>
      </c>
      <c r="F16" s="207">
        <f>0.128*F22</f>
        <v>0.12815360000000001</v>
      </c>
      <c r="G16" s="276" t="s">
        <v>1139</v>
      </c>
      <c r="H16" s="130"/>
      <c r="I16" s="275" t="s">
        <v>1144</v>
      </c>
      <c r="J16" s="130">
        <v>21</v>
      </c>
      <c r="K16" s="276" t="s">
        <v>558</v>
      </c>
      <c r="L16" s="130"/>
      <c r="M16" s="275" t="s">
        <v>1145</v>
      </c>
      <c r="N16" s="130">
        <f>N6+N5*3</f>
        <v>17.04</v>
      </c>
      <c r="O16" s="276" t="s">
        <v>1093</v>
      </c>
      <c r="P16" s="130"/>
      <c r="Q16" s="130"/>
      <c r="R16" s="130"/>
      <c r="S16" s="130"/>
      <c r="T16" s="130"/>
      <c r="U16" s="130"/>
      <c r="V16" s="130"/>
      <c r="W16" s="130"/>
      <c r="X16" s="130"/>
    </row>
    <row r="17" spans="1:24" ht="15.75" customHeight="1" x14ac:dyDescent="0.35">
      <c r="A17" s="304">
        <v>2005</v>
      </c>
      <c r="B17" s="130">
        <v>468.2</v>
      </c>
      <c r="C17" s="276" t="s">
        <v>1190</v>
      </c>
      <c r="D17" s="130"/>
      <c r="E17" s="275" t="s">
        <v>1146</v>
      </c>
      <c r="F17" s="207">
        <f>0.115</f>
        <v>0.115</v>
      </c>
      <c r="G17" s="276" t="s">
        <v>1139</v>
      </c>
      <c r="H17" s="130"/>
      <c r="I17" s="284" t="s">
        <v>1147</v>
      </c>
      <c r="J17" s="293">
        <v>37.26</v>
      </c>
      <c r="K17" s="286" t="s">
        <v>1148</v>
      </c>
      <c r="L17" s="156"/>
      <c r="M17" s="275" t="s">
        <v>1149</v>
      </c>
      <c r="N17" s="130">
        <f>N8*2</f>
        <v>32</v>
      </c>
      <c r="O17" s="276" t="s">
        <v>1093</v>
      </c>
      <c r="P17" s="130"/>
      <c r="Q17" s="352" t="s">
        <v>1150</v>
      </c>
      <c r="R17" s="351"/>
      <c r="S17" s="351"/>
      <c r="T17" s="130"/>
      <c r="U17" s="130"/>
      <c r="V17" s="140"/>
      <c r="W17" s="130"/>
      <c r="X17" s="130"/>
    </row>
    <row r="18" spans="1:24" ht="15.75" customHeight="1" x14ac:dyDescent="0.35">
      <c r="A18" s="304">
        <v>2006</v>
      </c>
      <c r="B18" s="130">
        <v>499.6</v>
      </c>
      <c r="C18" s="276" t="s">
        <v>1190</v>
      </c>
      <c r="D18" s="130"/>
      <c r="E18" s="275" t="s">
        <v>1152</v>
      </c>
      <c r="F18" s="207">
        <v>1.288</v>
      </c>
      <c r="G18" s="276" t="s">
        <v>1153</v>
      </c>
      <c r="H18" s="130"/>
      <c r="I18" s="159"/>
      <c r="J18" s="159"/>
      <c r="K18" s="159"/>
      <c r="L18" s="130"/>
      <c r="M18" s="275" t="s">
        <v>1154</v>
      </c>
      <c r="N18" s="130">
        <f>N7+2*N8</f>
        <v>64</v>
      </c>
      <c r="O18" s="276" t="s">
        <v>1093</v>
      </c>
      <c r="P18" s="130"/>
      <c r="Q18" s="297" t="s">
        <v>1155</v>
      </c>
      <c r="R18" s="298">
        <f>(2706.54-379.86)/1000</f>
        <v>2.3266799999999996</v>
      </c>
      <c r="S18" s="299" t="s">
        <v>558</v>
      </c>
      <c r="T18" s="130"/>
      <c r="U18" s="130"/>
      <c r="V18" s="140"/>
      <c r="W18" s="130"/>
      <c r="X18" s="130"/>
    </row>
    <row r="19" spans="1:24" ht="15.75" customHeight="1" x14ac:dyDescent="0.35">
      <c r="A19" s="304">
        <v>2007</v>
      </c>
      <c r="B19" s="130">
        <v>525.4</v>
      </c>
      <c r="C19" s="276" t="s">
        <v>1190</v>
      </c>
      <c r="D19" s="130"/>
      <c r="E19" s="275" t="s">
        <v>1158</v>
      </c>
      <c r="F19" s="207">
        <v>1.214</v>
      </c>
      <c r="G19" s="276" t="s">
        <v>1153</v>
      </c>
      <c r="H19" s="130"/>
      <c r="I19" s="352" t="s">
        <v>1159</v>
      </c>
      <c r="J19" s="351"/>
      <c r="K19" s="351"/>
      <c r="L19" s="130"/>
      <c r="M19" s="275" t="s">
        <v>1166</v>
      </c>
      <c r="N19" s="130">
        <f>N4*2+N5*4</f>
        <v>28.06</v>
      </c>
      <c r="O19" s="276" t="s">
        <v>1093</v>
      </c>
      <c r="P19" s="130"/>
      <c r="Q19" s="291" t="s">
        <v>1160</v>
      </c>
      <c r="R19" s="167">
        <f>(2777.22-379.86)/1000</f>
        <v>2.3973599999999995</v>
      </c>
      <c r="S19" s="294" t="s">
        <v>558</v>
      </c>
      <c r="T19" s="130"/>
      <c r="U19" s="130"/>
      <c r="V19" s="140"/>
      <c r="W19" s="130"/>
      <c r="X19" s="130"/>
    </row>
    <row r="20" spans="1:24" ht="15.75" customHeight="1" x14ac:dyDescent="0.35">
      <c r="A20" s="304">
        <v>2008</v>
      </c>
      <c r="B20" s="130">
        <v>575.4</v>
      </c>
      <c r="C20" s="276" t="s">
        <v>1190</v>
      </c>
      <c r="D20" s="130"/>
      <c r="E20" s="275" t="s">
        <v>1162</v>
      </c>
      <c r="F20" s="207">
        <v>1.087</v>
      </c>
      <c r="G20" s="276" t="s">
        <v>1153</v>
      </c>
      <c r="H20" s="130"/>
      <c r="I20" s="277" t="s">
        <v>1092</v>
      </c>
      <c r="J20" s="280">
        <v>0.32</v>
      </c>
      <c r="K20" s="279" t="s">
        <v>1163</v>
      </c>
      <c r="L20" s="130"/>
      <c r="M20" s="275" t="s">
        <v>1168</v>
      </c>
      <c r="N20" s="130">
        <f>N4*3+N5*6</f>
        <v>42.09</v>
      </c>
      <c r="O20" s="276" t="s">
        <v>1093</v>
      </c>
      <c r="P20" s="130"/>
      <c r="Q20" s="141" t="s">
        <v>836</v>
      </c>
      <c r="R20" s="142">
        <v>2.8</v>
      </c>
      <c r="S20" s="143" t="s">
        <v>558</v>
      </c>
      <c r="T20" s="130"/>
      <c r="U20" s="130"/>
      <c r="V20" s="130"/>
      <c r="W20" s="130"/>
      <c r="X20" s="130"/>
    </row>
    <row r="21" spans="1:24" ht="15.75" customHeight="1" x14ac:dyDescent="0.35">
      <c r="A21" s="304">
        <v>2009</v>
      </c>
      <c r="B21" s="293">
        <v>521.9</v>
      </c>
      <c r="C21" s="286" t="s">
        <v>1190</v>
      </c>
      <c r="D21" s="130"/>
      <c r="E21" s="275" t="s">
        <v>1164</v>
      </c>
      <c r="F21" s="130">
        <v>1.02</v>
      </c>
      <c r="G21" s="276" t="s">
        <v>1153</v>
      </c>
      <c r="H21" s="130"/>
      <c r="I21" s="275" t="s">
        <v>1165</v>
      </c>
      <c r="J21" s="130">
        <v>1.1499999999999999</v>
      </c>
      <c r="K21" s="276" t="s">
        <v>1163</v>
      </c>
      <c r="L21" s="130"/>
      <c r="M21" s="275" t="s">
        <v>1171</v>
      </c>
      <c r="N21" s="130">
        <f>N4*4+N5*10</f>
        <v>58.14</v>
      </c>
      <c r="O21" s="276" t="s">
        <v>1093</v>
      </c>
      <c r="P21" s="130"/>
      <c r="Q21" s="130"/>
      <c r="R21" s="130"/>
      <c r="S21" s="130"/>
      <c r="T21" s="130"/>
      <c r="U21" s="130"/>
      <c r="V21" s="130"/>
      <c r="W21" s="130"/>
      <c r="X21" s="130"/>
    </row>
    <row r="22" spans="1:24" x14ac:dyDescent="0.35">
      <c r="A22" s="313">
        <v>2010</v>
      </c>
      <c r="B22" s="290">
        <v>550.79999999999995</v>
      </c>
      <c r="C22" s="286" t="s">
        <v>1190</v>
      </c>
      <c r="D22" s="130"/>
      <c r="E22" s="275" t="s">
        <v>1167</v>
      </c>
      <c r="F22" s="207">
        <v>1.0012000000000001</v>
      </c>
      <c r="G22" s="276" t="s">
        <v>1153</v>
      </c>
      <c r="H22" s="130"/>
      <c r="I22" s="275" t="s">
        <v>1104</v>
      </c>
      <c r="J22" s="130">
        <v>3.16</v>
      </c>
      <c r="K22" s="276" t="s">
        <v>1163</v>
      </c>
      <c r="L22" s="130"/>
      <c r="M22" s="284" t="s">
        <v>1175</v>
      </c>
      <c r="N22" s="293">
        <f>N4*2+N5*6</f>
        <v>30.08</v>
      </c>
      <c r="O22" s="286" t="s">
        <v>1093</v>
      </c>
      <c r="P22" s="130"/>
      <c r="Q22" s="130"/>
      <c r="R22" s="130"/>
      <c r="S22" s="130"/>
      <c r="T22" s="130"/>
      <c r="U22" s="130"/>
      <c r="V22" s="130"/>
      <c r="W22" s="130"/>
      <c r="X22" s="130"/>
    </row>
    <row r="23" spans="1:24" x14ac:dyDescent="0.35">
      <c r="A23" s="313">
        <v>2011</v>
      </c>
      <c r="B23" s="130">
        <v>585.70000000000005</v>
      </c>
      <c r="C23" s="286" t="s">
        <v>1190</v>
      </c>
      <c r="D23" s="130"/>
      <c r="E23" s="275" t="s">
        <v>1169</v>
      </c>
      <c r="F23" s="207">
        <v>0.99199999999999999</v>
      </c>
      <c r="G23" s="276" t="s">
        <v>1153</v>
      </c>
      <c r="H23" s="130"/>
      <c r="I23" s="275" t="s">
        <v>1170</v>
      </c>
      <c r="J23" s="130">
        <v>40.479999999999997</v>
      </c>
      <c r="K23" s="276" t="s">
        <v>1163</v>
      </c>
      <c r="L23" s="130"/>
      <c r="P23" s="130"/>
      <c r="Q23" s="352" t="s">
        <v>1172</v>
      </c>
      <c r="R23" s="351"/>
      <c r="S23" s="351"/>
      <c r="T23" s="130"/>
      <c r="U23" s="130"/>
      <c r="V23" s="130"/>
      <c r="W23" s="130"/>
      <c r="X23" s="130"/>
    </row>
    <row r="24" spans="1:24" x14ac:dyDescent="0.35">
      <c r="A24" s="313">
        <v>2012</v>
      </c>
      <c r="B24" s="130">
        <v>584.6</v>
      </c>
      <c r="C24" s="286" t="s">
        <v>1190</v>
      </c>
      <c r="D24" s="130"/>
      <c r="E24" s="275" t="s">
        <v>1173</v>
      </c>
      <c r="F24" s="207">
        <v>0.98199999999999998</v>
      </c>
      <c r="G24" s="276" t="s">
        <v>1153</v>
      </c>
      <c r="H24" s="130"/>
      <c r="I24" s="284" t="s">
        <v>1174</v>
      </c>
      <c r="J24" s="293">
        <v>34316.32</v>
      </c>
      <c r="K24" s="286" t="s">
        <v>1163</v>
      </c>
      <c r="L24" s="130"/>
      <c r="P24" s="130"/>
      <c r="Q24" s="277" t="s">
        <v>1176</v>
      </c>
      <c r="R24" s="278">
        <v>10</v>
      </c>
      <c r="S24" s="279" t="s">
        <v>1177</v>
      </c>
      <c r="T24" s="130"/>
      <c r="U24" s="130"/>
      <c r="V24" s="130"/>
      <c r="W24" s="130"/>
      <c r="X24" s="130"/>
    </row>
    <row r="25" spans="1:24" x14ac:dyDescent="0.35">
      <c r="A25" s="313">
        <v>2013</v>
      </c>
      <c r="B25" s="130">
        <v>567.29999999999995</v>
      </c>
      <c r="C25" s="286" t="s">
        <v>1190</v>
      </c>
      <c r="D25" s="130"/>
      <c r="E25" s="275" t="s">
        <v>1178</v>
      </c>
      <c r="F25" s="130">
        <v>0.14599999999999999</v>
      </c>
      <c r="G25" s="276" t="s">
        <v>1179</v>
      </c>
      <c r="H25" s="130"/>
      <c r="I25" s="130"/>
      <c r="J25" s="130"/>
      <c r="K25" s="130"/>
      <c r="L25" s="156"/>
      <c r="M25" s="130"/>
      <c r="N25" s="130"/>
      <c r="O25" s="130"/>
      <c r="P25" s="130"/>
      <c r="Q25" s="284" t="s">
        <v>1180</v>
      </c>
      <c r="R25" s="285">
        <v>6.9000000000000006E-2</v>
      </c>
      <c r="S25" s="286" t="s">
        <v>1181</v>
      </c>
      <c r="T25" s="130"/>
      <c r="U25" s="130"/>
      <c r="V25" s="130"/>
      <c r="W25" s="130"/>
      <c r="X25" s="130"/>
    </row>
    <row r="26" spans="1:24" x14ac:dyDescent="0.35">
      <c r="A26" s="313">
        <v>2014</v>
      </c>
      <c r="B26" s="130">
        <v>576.1</v>
      </c>
      <c r="C26" s="286" t="s">
        <v>1190</v>
      </c>
      <c r="D26" s="130"/>
      <c r="E26" s="284" t="s">
        <v>1182</v>
      </c>
      <c r="F26" s="285">
        <f>0.309196*F23</f>
        <v>0.30672243200000004</v>
      </c>
      <c r="G26" s="286" t="s">
        <v>1183</v>
      </c>
      <c r="H26" s="130"/>
      <c r="I26" s="352" t="s">
        <v>1184</v>
      </c>
      <c r="J26" s="351"/>
      <c r="K26" s="351"/>
      <c r="L26" s="130"/>
      <c r="M26" s="352" t="s">
        <v>1185</v>
      </c>
      <c r="N26" s="351"/>
      <c r="O26" s="351"/>
      <c r="P26" s="130"/>
      <c r="Q26" s="130"/>
      <c r="R26" s="207"/>
      <c r="S26" s="130"/>
      <c r="T26" s="130"/>
      <c r="U26" s="130"/>
      <c r="V26" s="130"/>
      <c r="W26" s="130"/>
      <c r="X26" s="130"/>
    </row>
    <row r="27" spans="1:24" x14ac:dyDescent="0.35">
      <c r="A27" s="313">
        <v>2015</v>
      </c>
      <c r="B27" s="130">
        <v>556.79999999999995</v>
      </c>
      <c r="C27" s="286" t="s">
        <v>1190</v>
      </c>
      <c r="D27" s="130"/>
      <c r="E27" s="130"/>
      <c r="F27" s="130"/>
      <c r="G27" s="130"/>
      <c r="H27" s="130"/>
      <c r="I27" s="277" t="s">
        <v>1092</v>
      </c>
      <c r="J27" s="300">
        <f t="shared" ref="J27:J31" si="0">14.534*LN(LN(J20+0.8))+10.975</f>
        <v>-20.672246702470083</v>
      </c>
      <c r="K27" s="279" t="s">
        <v>1186</v>
      </c>
      <c r="L27" s="130"/>
      <c r="M27" s="277" t="s">
        <v>1187</v>
      </c>
      <c r="N27" s="301">
        <v>0.77</v>
      </c>
      <c r="O27" s="279" t="s">
        <v>1188</v>
      </c>
      <c r="P27" s="130"/>
      <c r="Q27" s="264"/>
      <c r="R27" s="314"/>
      <c r="S27" s="264"/>
      <c r="T27" s="264"/>
      <c r="U27" s="130"/>
      <c r="V27" s="130"/>
      <c r="W27" s="130"/>
      <c r="X27" s="130"/>
    </row>
    <row r="28" spans="1:24" x14ac:dyDescent="0.35">
      <c r="A28" s="313">
        <v>2016</v>
      </c>
      <c r="B28" s="130">
        <v>541.70000000000005</v>
      </c>
      <c r="C28" s="286" t="s">
        <v>1190</v>
      </c>
      <c r="D28" s="130"/>
      <c r="H28" s="130"/>
      <c r="I28" s="275" t="s">
        <v>1165</v>
      </c>
      <c r="J28" s="209">
        <f t="shared" si="0"/>
        <v>5.1072961916109039</v>
      </c>
      <c r="K28" s="276" t="s">
        <v>1186</v>
      </c>
      <c r="L28" s="130"/>
      <c r="M28" s="284" t="s">
        <v>1105</v>
      </c>
      <c r="N28" s="302">
        <v>0.23</v>
      </c>
      <c r="O28" s="286" t="s">
        <v>1188</v>
      </c>
      <c r="P28" s="130"/>
      <c r="Q28" s="353"/>
      <c r="R28" s="351"/>
      <c r="S28" s="351"/>
      <c r="T28" s="264"/>
      <c r="U28" s="130"/>
      <c r="V28" s="130"/>
      <c r="W28" s="130"/>
      <c r="X28" s="130"/>
    </row>
    <row r="29" spans="1:24" x14ac:dyDescent="0.35">
      <c r="A29" s="313">
        <v>2017</v>
      </c>
      <c r="B29" s="130">
        <v>567.5</v>
      </c>
      <c r="C29" s="286" t="s">
        <v>1190</v>
      </c>
      <c r="D29" s="130"/>
      <c r="H29" s="130"/>
      <c r="I29" s="275" t="s">
        <v>1104</v>
      </c>
      <c r="J29" s="209">
        <f t="shared" si="0"/>
        <v>15.616550156404832</v>
      </c>
      <c r="K29" s="276" t="s">
        <v>1186</v>
      </c>
      <c r="L29" s="130"/>
      <c r="M29" s="130"/>
      <c r="N29" s="130"/>
      <c r="O29" s="130"/>
      <c r="P29" s="130"/>
      <c r="Q29" s="315"/>
      <c r="R29" s="316"/>
      <c r="S29" s="317"/>
      <c r="T29" s="264"/>
      <c r="U29" s="130"/>
      <c r="V29" s="130"/>
      <c r="W29" s="130"/>
      <c r="X29" s="130"/>
    </row>
    <row r="30" spans="1:24" x14ac:dyDescent="0.35">
      <c r="A30" s="313">
        <v>2018</v>
      </c>
      <c r="B30" s="130">
        <v>603.1</v>
      </c>
      <c r="C30" s="286" t="s">
        <v>1190</v>
      </c>
      <c r="D30" s="130"/>
      <c r="H30" s="130"/>
      <c r="I30" s="275" t="s">
        <v>1170</v>
      </c>
      <c r="J30" s="209">
        <f t="shared" si="0"/>
        <v>30.070137035137158</v>
      </c>
      <c r="K30" s="276" t="s">
        <v>1186</v>
      </c>
      <c r="L30" s="130"/>
      <c r="M30" s="130"/>
      <c r="N30" s="130"/>
      <c r="O30" s="130"/>
      <c r="P30" s="130"/>
      <c r="Q30" s="318"/>
      <c r="R30" s="314"/>
      <c r="S30" s="319"/>
      <c r="T30" s="264"/>
      <c r="U30" s="130"/>
      <c r="V30" s="130"/>
      <c r="W30" s="130"/>
      <c r="X30" s="130"/>
    </row>
    <row r="31" spans="1:24" x14ac:dyDescent="0.35">
      <c r="A31" s="313">
        <v>2019</v>
      </c>
      <c r="B31" s="130">
        <v>607.5</v>
      </c>
      <c r="C31" s="286" t="s">
        <v>1190</v>
      </c>
      <c r="D31" s="130"/>
      <c r="H31" s="130"/>
      <c r="I31" s="275" t="s">
        <v>1191</v>
      </c>
      <c r="J31" s="209">
        <f t="shared" si="0"/>
        <v>45.071330376468957</v>
      </c>
      <c r="K31" s="276" t="s">
        <v>1186</v>
      </c>
      <c r="L31" s="130"/>
      <c r="M31" s="130"/>
      <c r="N31" s="130"/>
      <c r="O31" s="130"/>
      <c r="P31" s="130"/>
      <c r="Q31" s="318"/>
      <c r="R31" s="314"/>
      <c r="S31" s="319"/>
      <c r="T31" s="264"/>
      <c r="U31" s="130"/>
      <c r="V31" s="130"/>
      <c r="W31" s="130"/>
      <c r="X31" s="130"/>
    </row>
    <row r="32" spans="1:24" x14ac:dyDescent="0.35">
      <c r="A32" s="313">
        <v>2020</v>
      </c>
      <c r="B32" s="130">
        <v>596.20000000000005</v>
      </c>
      <c r="C32" s="286" t="s">
        <v>1190</v>
      </c>
      <c r="D32" s="130"/>
      <c r="H32" s="130"/>
      <c r="I32" s="284" t="s">
        <v>1192</v>
      </c>
      <c r="J32" s="305">
        <f>J30*(28.89/46.18)+J31*(17.29/46.18)</f>
        <v>35.686651389221751</v>
      </c>
      <c r="K32" s="286" t="s">
        <v>1186</v>
      </c>
      <c r="L32" s="130"/>
      <c r="M32" s="130"/>
      <c r="N32" s="130"/>
      <c r="O32" s="130"/>
      <c r="P32" s="130"/>
      <c r="Q32" s="318"/>
      <c r="R32" s="314"/>
      <c r="S32" s="319"/>
      <c r="T32" s="264"/>
      <c r="U32" s="130"/>
      <c r="V32" s="130"/>
      <c r="W32" s="130"/>
      <c r="X32" s="130"/>
    </row>
    <row r="33" spans="1:24" x14ac:dyDescent="0.35">
      <c r="A33" s="313">
        <v>2021</v>
      </c>
      <c r="B33" s="130">
        <v>708</v>
      </c>
      <c r="C33" s="286" t="s">
        <v>1190</v>
      </c>
      <c r="D33" s="130"/>
      <c r="H33" s="130"/>
      <c r="I33" s="130"/>
      <c r="J33" s="130"/>
      <c r="K33" s="130"/>
      <c r="L33" s="130"/>
      <c r="M33" s="130"/>
      <c r="N33" s="130"/>
      <c r="O33" s="130"/>
      <c r="P33" s="130"/>
      <c r="Q33" s="318"/>
      <c r="R33" s="314"/>
      <c r="S33" s="319"/>
      <c r="T33" s="264"/>
      <c r="U33" s="130"/>
      <c r="V33" s="130"/>
      <c r="W33" s="130"/>
      <c r="X33" s="130"/>
    </row>
    <row r="34" spans="1:24" x14ac:dyDescent="0.35">
      <c r="A34" s="313">
        <v>2022</v>
      </c>
      <c r="B34" s="130">
        <v>813</v>
      </c>
      <c r="C34" s="286" t="s">
        <v>1190</v>
      </c>
      <c r="D34" s="130"/>
      <c r="H34" s="130"/>
      <c r="I34" s="352" t="s">
        <v>1193</v>
      </c>
      <c r="J34" s="351"/>
      <c r="K34" s="351"/>
      <c r="L34" s="130"/>
      <c r="M34" s="130"/>
      <c r="N34" s="130"/>
      <c r="O34" s="130"/>
      <c r="P34" s="130"/>
      <c r="Q34" s="318"/>
      <c r="R34" s="314"/>
      <c r="S34" s="319"/>
      <c r="T34" s="264"/>
      <c r="U34" s="130"/>
      <c r="V34" s="130"/>
      <c r="W34" s="130"/>
      <c r="X34" s="130"/>
    </row>
    <row r="35" spans="1:24" x14ac:dyDescent="0.35">
      <c r="A35" s="313">
        <v>2023</v>
      </c>
      <c r="B35" s="130"/>
      <c r="C35" s="286" t="s">
        <v>1190</v>
      </c>
      <c r="D35" s="130"/>
      <c r="H35" s="130"/>
      <c r="I35" s="277" t="s">
        <v>1194</v>
      </c>
      <c r="J35" s="280">
        <v>0.9</v>
      </c>
      <c r="K35" s="279" t="s">
        <v>1195</v>
      </c>
      <c r="L35" s="130"/>
      <c r="M35" s="130"/>
      <c r="N35" s="130"/>
      <c r="O35" s="130"/>
      <c r="P35" s="130"/>
      <c r="Q35" s="318"/>
      <c r="R35" s="314"/>
      <c r="S35" s="319"/>
      <c r="T35" s="264"/>
      <c r="U35" s="130"/>
      <c r="V35" s="130"/>
      <c r="W35" s="130"/>
      <c r="X35" s="130"/>
    </row>
    <row r="36" spans="1:24" x14ac:dyDescent="0.35">
      <c r="A36" s="130"/>
      <c r="B36" s="130"/>
      <c r="C36" s="130"/>
      <c r="D36" s="130"/>
      <c r="H36" s="130"/>
      <c r="I36" s="275" t="s">
        <v>1196</v>
      </c>
      <c r="J36" s="130">
        <v>1</v>
      </c>
      <c r="K36" s="276" t="s">
        <v>1195</v>
      </c>
      <c r="L36" s="130"/>
      <c r="M36" s="130"/>
      <c r="N36" s="130"/>
      <c r="O36" s="130"/>
      <c r="P36" s="130"/>
      <c r="Q36" s="318"/>
      <c r="R36" s="314"/>
      <c r="S36" s="319"/>
      <c r="T36" s="264"/>
      <c r="U36" s="130"/>
      <c r="V36" s="130"/>
      <c r="W36" s="130"/>
      <c r="X36" s="130"/>
    </row>
    <row r="37" spans="1:24" x14ac:dyDescent="0.35">
      <c r="A37" s="130"/>
      <c r="B37" s="130"/>
      <c r="C37" s="130"/>
      <c r="D37" s="130"/>
      <c r="H37" s="130"/>
      <c r="I37" s="275" t="s">
        <v>1197</v>
      </c>
      <c r="J37" s="130">
        <v>1.1000000000000001</v>
      </c>
      <c r="K37" s="276" t="s">
        <v>1195</v>
      </c>
      <c r="L37" s="130"/>
      <c r="M37" s="130"/>
      <c r="N37" s="130"/>
      <c r="O37" s="130"/>
      <c r="P37" s="130"/>
      <c r="Q37" s="318"/>
      <c r="R37" s="314"/>
      <c r="S37" s="319"/>
      <c r="T37" s="264"/>
      <c r="U37" s="130"/>
      <c r="V37" s="130"/>
      <c r="W37" s="130"/>
      <c r="X37" s="130"/>
    </row>
    <row r="38" spans="1:24" x14ac:dyDescent="0.35">
      <c r="A38" s="130"/>
      <c r="B38" s="130"/>
      <c r="C38" s="130"/>
      <c r="D38" s="130"/>
      <c r="H38" s="130"/>
      <c r="I38" s="275" t="s">
        <v>1198</v>
      </c>
      <c r="J38" s="130">
        <v>0.72</v>
      </c>
      <c r="K38" s="276" t="s">
        <v>1195</v>
      </c>
      <c r="L38" s="156"/>
      <c r="M38" s="130"/>
      <c r="N38" s="130"/>
      <c r="O38" s="130"/>
      <c r="P38" s="130"/>
      <c r="Q38" s="320"/>
      <c r="R38" s="321"/>
      <c r="S38" s="322"/>
      <c r="T38" s="264"/>
      <c r="U38" s="130"/>
      <c r="V38" s="130"/>
      <c r="W38" s="130"/>
      <c r="X38" s="130"/>
    </row>
    <row r="39" spans="1:24" x14ac:dyDescent="0.35">
      <c r="A39" s="130"/>
      <c r="B39" s="130"/>
      <c r="C39" s="130"/>
      <c r="D39" s="130"/>
      <c r="E39" s="130"/>
      <c r="F39" s="130"/>
      <c r="G39" s="130"/>
      <c r="H39" s="130"/>
      <c r="I39" s="275" t="s">
        <v>1199</v>
      </c>
      <c r="J39" s="130">
        <v>0.84</v>
      </c>
      <c r="K39" s="276" t="s">
        <v>1195</v>
      </c>
      <c r="L39" s="130"/>
      <c r="M39" s="130"/>
      <c r="N39" s="130"/>
      <c r="O39" s="130"/>
      <c r="P39" s="130"/>
      <c r="Q39" s="264"/>
      <c r="R39" s="264"/>
      <c r="S39" s="264"/>
      <c r="T39" s="264"/>
      <c r="U39" s="130"/>
      <c r="V39" s="130"/>
      <c r="W39" s="130"/>
      <c r="X39" s="130"/>
    </row>
    <row r="40" spans="1:24" x14ac:dyDescent="0.35">
      <c r="A40" s="130"/>
      <c r="B40" s="130"/>
      <c r="C40" s="130"/>
      <c r="D40" s="130"/>
      <c r="E40" s="130"/>
      <c r="F40" s="130"/>
      <c r="G40" s="130"/>
      <c r="H40" s="130"/>
      <c r="I40" s="275" t="s">
        <v>1200</v>
      </c>
      <c r="J40" s="130">
        <v>7.5</v>
      </c>
      <c r="K40" s="276" t="s">
        <v>1201</v>
      </c>
      <c r="L40" s="130"/>
      <c r="M40" s="130"/>
      <c r="N40" s="130"/>
      <c r="O40" s="130"/>
      <c r="P40" s="130"/>
      <c r="Q40" s="353"/>
      <c r="R40" s="351"/>
      <c r="S40" s="351"/>
      <c r="T40" s="264"/>
      <c r="U40" s="130"/>
      <c r="V40" s="130"/>
      <c r="W40" s="130"/>
      <c r="X40" s="130"/>
    </row>
    <row r="41" spans="1:24" x14ac:dyDescent="0.35">
      <c r="A41" s="130" t="s">
        <v>1235</v>
      </c>
      <c r="B41" s="130"/>
      <c r="C41" s="130"/>
      <c r="D41" s="130"/>
      <c r="E41" s="130"/>
      <c r="F41" s="130"/>
      <c r="G41" s="130"/>
      <c r="H41" s="130"/>
      <c r="I41" s="275" t="s">
        <v>1196</v>
      </c>
      <c r="J41" s="130">
        <v>6.7</v>
      </c>
      <c r="K41" s="276" t="s">
        <v>1202</v>
      </c>
      <c r="L41" s="130"/>
      <c r="M41" s="130"/>
      <c r="N41" s="130"/>
      <c r="O41" s="130"/>
      <c r="P41" s="130"/>
      <c r="Q41" s="323"/>
      <c r="R41" s="324"/>
      <c r="S41" s="325"/>
      <c r="T41" s="264"/>
      <c r="U41" s="130"/>
      <c r="V41" s="130"/>
      <c r="W41" s="130"/>
      <c r="X41" s="130"/>
    </row>
    <row r="42" spans="1:24" x14ac:dyDescent="0.35">
      <c r="A42" s="130" t="s">
        <v>1236</v>
      </c>
      <c r="B42" s="130">
        <v>97.27</v>
      </c>
      <c r="C42" s="130" t="s">
        <v>1237</v>
      </c>
      <c r="D42" s="130"/>
      <c r="E42" s="130"/>
      <c r="F42" s="130"/>
      <c r="G42" s="130"/>
      <c r="H42" s="130"/>
      <c r="I42" s="275" t="s">
        <v>1147</v>
      </c>
      <c r="J42" s="140">
        <f>1000/3.31</f>
        <v>302.11480362537765</v>
      </c>
      <c r="K42" s="276" t="s">
        <v>1203</v>
      </c>
      <c r="L42" s="130"/>
      <c r="M42" s="130"/>
      <c r="N42" s="130"/>
      <c r="O42" s="130"/>
      <c r="P42" s="130"/>
      <c r="Q42" s="264"/>
      <c r="R42" s="314"/>
      <c r="S42" s="264"/>
      <c r="T42" s="264"/>
      <c r="U42" s="130"/>
      <c r="V42" s="130"/>
      <c r="W42" s="130"/>
      <c r="X42" s="130"/>
    </row>
    <row r="43" spans="1:24" x14ac:dyDescent="0.35">
      <c r="A43" s="130"/>
      <c r="B43" s="130"/>
      <c r="C43" s="130"/>
      <c r="D43" s="130"/>
      <c r="E43" s="130"/>
      <c r="F43" s="130"/>
      <c r="G43" s="130"/>
      <c r="H43" s="130"/>
      <c r="I43" s="275" t="s">
        <v>1194</v>
      </c>
      <c r="J43" s="140">
        <f>1000/(J35*J49)</f>
        <v>293.52464095332101</v>
      </c>
      <c r="K43" s="276" t="s">
        <v>1203</v>
      </c>
      <c r="L43" s="130"/>
      <c r="M43" s="130"/>
      <c r="N43" s="130"/>
      <c r="O43" s="130"/>
      <c r="P43" s="130"/>
      <c r="Q43" s="130"/>
      <c r="R43" s="207"/>
      <c r="S43" s="130"/>
      <c r="T43" s="130"/>
      <c r="U43" s="130"/>
      <c r="V43" s="130"/>
      <c r="W43" s="130"/>
      <c r="X43" s="130"/>
    </row>
    <row r="44" spans="1:24" x14ac:dyDescent="0.35">
      <c r="A44" s="130"/>
      <c r="B44" s="130"/>
      <c r="C44" s="130"/>
      <c r="D44" s="130"/>
      <c r="E44" s="130"/>
      <c r="F44" s="130"/>
      <c r="G44" s="130"/>
      <c r="H44" s="130"/>
      <c r="I44" s="275" t="s">
        <v>1196</v>
      </c>
      <c r="J44" s="140">
        <f>1000/(J36*J49)</f>
        <v>264.17217685798897</v>
      </c>
      <c r="K44" s="276" t="s">
        <v>1203</v>
      </c>
      <c r="L44" s="130"/>
      <c r="M44" s="130"/>
      <c r="N44" s="130"/>
      <c r="O44" s="130"/>
      <c r="P44" s="130"/>
      <c r="Q44" s="130"/>
      <c r="R44" s="207"/>
      <c r="S44" s="130"/>
      <c r="T44" s="130"/>
      <c r="U44" s="130"/>
      <c r="V44" s="130"/>
      <c r="W44" s="130"/>
      <c r="X44" s="130"/>
    </row>
    <row r="45" spans="1:24" x14ac:dyDescent="0.35">
      <c r="A45" s="130"/>
      <c r="B45" s="130"/>
      <c r="C45" s="130"/>
      <c r="D45" s="130"/>
      <c r="E45" s="130"/>
      <c r="F45" s="130"/>
      <c r="G45" s="130"/>
      <c r="H45" s="130"/>
      <c r="I45" s="275" t="s">
        <v>1198</v>
      </c>
      <c r="J45" s="140">
        <f>1000/(J38*J49)</f>
        <v>366.90580119165134</v>
      </c>
      <c r="K45" s="276" t="s">
        <v>1203</v>
      </c>
      <c r="L45" s="130"/>
      <c r="M45" s="130"/>
      <c r="N45" s="130"/>
      <c r="O45" s="130"/>
      <c r="P45" s="130"/>
      <c r="Q45" s="130"/>
      <c r="R45" s="207"/>
      <c r="S45" s="130"/>
      <c r="T45" s="130"/>
      <c r="U45" s="130"/>
      <c r="V45" s="130"/>
      <c r="W45" s="130"/>
      <c r="X45" s="130"/>
    </row>
    <row r="46" spans="1:24" x14ac:dyDescent="0.35">
      <c r="A46" s="130"/>
      <c r="B46" s="130"/>
      <c r="C46" s="130"/>
      <c r="D46" s="130"/>
      <c r="E46" s="130"/>
      <c r="F46" s="130"/>
      <c r="G46" s="130"/>
      <c r="H46" s="130"/>
      <c r="I46" s="284" t="s">
        <v>1199</v>
      </c>
      <c r="J46" s="289">
        <f>1000/(J39*J49)</f>
        <v>314.49068673570116</v>
      </c>
      <c r="K46" s="286" t="s">
        <v>1203</v>
      </c>
      <c r="L46" s="130"/>
      <c r="M46" s="130"/>
      <c r="N46" s="130"/>
      <c r="O46" s="130"/>
      <c r="P46" s="130"/>
      <c r="Q46" s="130"/>
      <c r="R46" s="207"/>
      <c r="S46" s="130"/>
      <c r="T46" s="130"/>
      <c r="U46" s="130"/>
      <c r="V46" s="130"/>
      <c r="W46" s="130"/>
      <c r="X46" s="130"/>
    </row>
    <row r="47" spans="1:24" x14ac:dyDescent="0.35">
      <c r="A47" s="130"/>
      <c r="B47" s="130"/>
      <c r="C47" s="130"/>
      <c r="D47" s="130"/>
      <c r="E47" s="130"/>
      <c r="F47" s="130"/>
      <c r="G47" s="130"/>
      <c r="H47" s="130"/>
      <c r="L47" s="130"/>
      <c r="M47" s="130"/>
      <c r="N47" s="130"/>
      <c r="O47" s="130"/>
      <c r="P47" s="130"/>
      <c r="Q47" s="130"/>
      <c r="R47" s="207"/>
      <c r="S47" s="130"/>
      <c r="T47" s="130"/>
      <c r="U47" s="130"/>
      <c r="V47" s="130"/>
      <c r="W47" s="130"/>
      <c r="X47" s="130"/>
    </row>
    <row r="48" spans="1:24" x14ac:dyDescent="0.35">
      <c r="A48" s="130"/>
      <c r="B48" s="130"/>
      <c r="C48" s="130"/>
      <c r="D48" s="130"/>
      <c r="E48" s="130"/>
      <c r="F48" s="130"/>
      <c r="G48" s="130"/>
      <c r="H48" s="130"/>
      <c r="I48" s="352" t="s">
        <v>1204</v>
      </c>
      <c r="J48" s="351"/>
      <c r="K48" s="351"/>
      <c r="L48" s="130"/>
      <c r="M48" s="130"/>
      <c r="N48" s="130"/>
      <c r="O48" s="130"/>
      <c r="P48" s="130"/>
      <c r="Q48" s="130"/>
      <c r="R48" s="207"/>
      <c r="S48" s="130"/>
      <c r="T48" s="130"/>
      <c r="U48" s="130"/>
      <c r="V48" s="130"/>
      <c r="W48" s="130"/>
      <c r="X48" s="130"/>
    </row>
    <row r="49" spans="1:24" x14ac:dyDescent="0.35">
      <c r="A49" s="130"/>
      <c r="B49" s="130"/>
      <c r="C49" s="130"/>
      <c r="D49" s="130"/>
      <c r="E49" s="130"/>
      <c r="F49" s="130"/>
      <c r="G49" s="130"/>
      <c r="H49" s="130"/>
      <c r="I49" s="306" t="s">
        <v>1205</v>
      </c>
      <c r="J49" s="307">
        <v>3.7854100000000002</v>
      </c>
      <c r="K49" s="308" t="s">
        <v>1206</v>
      </c>
      <c r="L49" s="130"/>
      <c r="M49" s="130"/>
      <c r="N49" s="130"/>
      <c r="O49" s="130"/>
      <c r="P49" s="130"/>
      <c r="Q49" s="130"/>
      <c r="R49" s="207"/>
      <c r="S49" s="130"/>
      <c r="T49" s="130"/>
      <c r="U49" s="130"/>
      <c r="V49" s="130"/>
      <c r="W49" s="130"/>
      <c r="X49" s="130"/>
    </row>
    <row r="50" spans="1:24" x14ac:dyDescent="0.35">
      <c r="A50" s="130"/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207"/>
      <c r="S50" s="130"/>
      <c r="T50" s="130"/>
      <c r="U50" s="130"/>
      <c r="V50" s="130"/>
      <c r="W50" s="130"/>
      <c r="X50" s="130"/>
    </row>
    <row r="51" spans="1:24" x14ac:dyDescent="0.35">
      <c r="A51" s="130"/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207"/>
      <c r="S51" s="130"/>
      <c r="T51" s="130"/>
      <c r="U51" s="130"/>
      <c r="V51" s="130"/>
      <c r="W51" s="130"/>
      <c r="X51" s="130"/>
    </row>
    <row r="52" spans="1:24" x14ac:dyDescent="0.35">
      <c r="A52" s="130"/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207"/>
      <c r="S52" s="130"/>
      <c r="T52" s="130"/>
      <c r="U52" s="130"/>
      <c r="V52" s="130"/>
      <c r="W52" s="130"/>
      <c r="X52" s="130"/>
    </row>
    <row r="53" spans="1:24" x14ac:dyDescent="0.35">
      <c r="A53" s="130"/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207"/>
      <c r="S53" s="130"/>
      <c r="T53" s="130"/>
      <c r="U53" s="130"/>
      <c r="V53" s="130"/>
      <c r="W53" s="130"/>
      <c r="X53" s="130"/>
    </row>
    <row r="54" spans="1:24" x14ac:dyDescent="0.35">
      <c r="A54" t="s">
        <v>1315</v>
      </c>
      <c r="B54" s="342" t="s">
        <v>1189</v>
      </c>
    </row>
    <row r="55" spans="1:24" x14ac:dyDescent="0.35">
      <c r="A55" s="340" t="s">
        <v>1254</v>
      </c>
      <c r="B55" s="340" t="s">
        <v>1255</v>
      </c>
    </row>
    <row r="56" spans="1:24" x14ac:dyDescent="0.35">
      <c r="A56" s="340" t="s">
        <v>1256</v>
      </c>
      <c r="B56" s="340" t="s">
        <v>1257</v>
      </c>
    </row>
    <row r="57" spans="1:24" x14ac:dyDescent="0.35">
      <c r="A57" s="340" t="s">
        <v>1258</v>
      </c>
      <c r="B57" s="340" t="s">
        <v>1259</v>
      </c>
    </row>
    <row r="58" spans="1:24" x14ac:dyDescent="0.35">
      <c r="A58" s="340" t="s">
        <v>1260</v>
      </c>
      <c r="B58" s="340">
        <v>789.6</v>
      </c>
    </row>
    <row r="59" spans="1:24" x14ac:dyDescent="0.35">
      <c r="A59" s="340" t="s">
        <v>1261</v>
      </c>
      <c r="B59" s="340">
        <v>789.2</v>
      </c>
      <c r="I59" t="s">
        <v>1326</v>
      </c>
      <c r="J59" t="s">
        <v>1327</v>
      </c>
      <c r="K59" t="s">
        <v>1251</v>
      </c>
    </row>
    <row r="60" spans="1:24" x14ac:dyDescent="0.35">
      <c r="A60" s="340" t="s">
        <v>1262</v>
      </c>
      <c r="B60" s="340">
        <v>790.7</v>
      </c>
      <c r="I60" t="s">
        <v>1325</v>
      </c>
      <c r="J60">
        <v>655</v>
      </c>
      <c r="K60">
        <f>J60/'Expenses variable '!H56</f>
        <v>617.20833372595951</v>
      </c>
    </row>
    <row r="61" spans="1:24" x14ac:dyDescent="0.35">
      <c r="A61" s="340" t="s">
        <v>1263</v>
      </c>
      <c r="B61" s="340">
        <v>793.3</v>
      </c>
      <c r="I61" t="s">
        <v>1322</v>
      </c>
      <c r="J61">
        <f>M64</f>
        <v>788.95463510848128</v>
      </c>
      <c r="K61">
        <f>J61/'Expenses variable '!H56</f>
        <v>743.43416140561555</v>
      </c>
      <c r="M61" t="s">
        <v>1328</v>
      </c>
      <c r="N61">
        <v>1.014</v>
      </c>
      <c r="O61" t="s">
        <v>1195</v>
      </c>
    </row>
    <row r="62" spans="1:24" x14ac:dyDescent="0.35">
      <c r="A62" s="340" t="s">
        <v>1264</v>
      </c>
      <c r="B62" s="340">
        <v>798.7</v>
      </c>
      <c r="M62">
        <v>0.8</v>
      </c>
      <c r="N62" t="s">
        <v>1330</v>
      </c>
      <c r="Q62" t="s">
        <v>1331</v>
      </c>
    </row>
    <row r="63" spans="1:24" x14ac:dyDescent="0.35">
      <c r="A63" s="340" t="s">
        <v>1265</v>
      </c>
      <c r="B63" s="340">
        <v>798.7</v>
      </c>
      <c r="M63">
        <f>M62/N61</f>
        <v>0.78895463510848129</v>
      </c>
      <c r="N63" t="s">
        <v>1329</v>
      </c>
    </row>
    <row r="64" spans="1:24" x14ac:dyDescent="0.35">
      <c r="A64" s="340" t="s">
        <v>1266</v>
      </c>
      <c r="B64" s="340">
        <v>803.3</v>
      </c>
      <c r="M64">
        <f>M63*1000</f>
        <v>788.95463510848128</v>
      </c>
      <c r="N64" t="s">
        <v>1327</v>
      </c>
    </row>
    <row r="65" spans="1:2" x14ac:dyDescent="0.35">
      <c r="A65" s="340" t="s">
        <v>1267</v>
      </c>
      <c r="B65" s="340">
        <v>808.8</v>
      </c>
    </row>
    <row r="66" spans="1:2" x14ac:dyDescent="0.35">
      <c r="A66" s="340" t="s">
        <v>1268</v>
      </c>
      <c r="B66" s="340">
        <v>803.3</v>
      </c>
    </row>
    <row r="67" spans="1:2" x14ac:dyDescent="0.35">
      <c r="A67" s="340" t="s">
        <v>1269</v>
      </c>
      <c r="B67" s="340">
        <v>799.1</v>
      </c>
    </row>
    <row r="68" spans="1:2" x14ac:dyDescent="0.35">
      <c r="A68" s="340" t="s">
        <v>1270</v>
      </c>
      <c r="B68" s="340">
        <v>798</v>
      </c>
    </row>
    <row r="69" spans="1:2" x14ac:dyDescent="0.35">
      <c r="A69" s="340" t="s">
        <v>1271</v>
      </c>
      <c r="B69" s="340">
        <v>802.6</v>
      </c>
    </row>
    <row r="70" spans="1:2" x14ac:dyDescent="0.35">
      <c r="A70" s="340" t="s">
        <v>1272</v>
      </c>
      <c r="B70" s="340">
        <v>802.9</v>
      </c>
    </row>
    <row r="71" spans="1:2" x14ac:dyDescent="0.35">
      <c r="A71" s="340" t="s">
        <v>1273</v>
      </c>
      <c r="B71" s="340">
        <v>814.6</v>
      </c>
    </row>
    <row r="72" spans="1:2" x14ac:dyDescent="0.35">
      <c r="A72" s="340" t="s">
        <v>1274</v>
      </c>
      <c r="B72" s="340">
        <v>816.2</v>
      </c>
    </row>
    <row r="73" spans="1:2" x14ac:dyDescent="0.35">
      <c r="A73" s="340" t="s">
        <v>1275</v>
      </c>
      <c r="B73" s="340">
        <v>821.3</v>
      </c>
    </row>
    <row r="74" spans="1:2" x14ac:dyDescent="0.35">
      <c r="A74" s="340" t="s">
        <v>1276</v>
      </c>
      <c r="B74" s="340">
        <v>824.5</v>
      </c>
    </row>
    <row r="75" spans="1:2" x14ac:dyDescent="0.35">
      <c r="A75" s="340" t="s">
        <v>1277</v>
      </c>
      <c r="B75" s="340">
        <v>829.8</v>
      </c>
    </row>
    <row r="76" spans="1:2" x14ac:dyDescent="0.35">
      <c r="A76" s="340" t="s">
        <v>1278</v>
      </c>
      <c r="B76" s="340">
        <v>832.6</v>
      </c>
    </row>
    <row r="77" spans="1:2" x14ac:dyDescent="0.35">
      <c r="A77" s="340" t="s">
        <v>1279</v>
      </c>
      <c r="B77" s="340">
        <v>831.1</v>
      </c>
    </row>
    <row r="78" spans="1:2" x14ac:dyDescent="0.35">
      <c r="A78" s="340" t="s">
        <v>1280</v>
      </c>
      <c r="B78" s="340">
        <v>816.3</v>
      </c>
    </row>
    <row r="79" spans="1:2" x14ac:dyDescent="0.35">
      <c r="A79" s="340" t="s">
        <v>1281</v>
      </c>
      <c r="B79" s="340">
        <v>803.6</v>
      </c>
    </row>
    <row r="80" spans="1:2" x14ac:dyDescent="0.35">
      <c r="A80" s="340" t="s">
        <v>1282</v>
      </c>
      <c r="B80" s="340">
        <v>801.3</v>
      </c>
    </row>
    <row r="81" spans="1:5" x14ac:dyDescent="0.35">
      <c r="A81" s="340" t="s">
        <v>1283</v>
      </c>
      <c r="B81" s="340">
        <v>797.6</v>
      </c>
    </row>
    <row r="82" spans="1:5" x14ac:dyDescent="0.35">
      <c r="A82" s="340" t="s">
        <v>1284</v>
      </c>
      <c r="B82" s="340">
        <v>776.3</v>
      </c>
    </row>
    <row r="83" spans="1:5" x14ac:dyDescent="0.35">
      <c r="A83" s="340" t="s">
        <v>1285</v>
      </c>
      <c r="B83" s="340">
        <v>773.1</v>
      </c>
    </row>
    <row r="84" spans="1:5" x14ac:dyDescent="0.35">
      <c r="A84" s="340" t="s">
        <v>1286</v>
      </c>
      <c r="B84" s="340">
        <v>761.4</v>
      </c>
    </row>
    <row r="85" spans="1:5" x14ac:dyDescent="0.35">
      <c r="A85" s="340" t="s">
        <v>1287</v>
      </c>
      <c r="B85" s="340">
        <v>754</v>
      </c>
    </row>
    <row r="86" spans="1:5" x14ac:dyDescent="0.35">
      <c r="A86" s="340" t="s">
        <v>1288</v>
      </c>
      <c r="B86" s="340">
        <v>735.2</v>
      </c>
    </row>
    <row r="87" spans="1:5" x14ac:dyDescent="0.35">
      <c r="A87" s="340" t="s">
        <v>1289</v>
      </c>
      <c r="B87" s="340">
        <v>720.2</v>
      </c>
    </row>
    <row r="88" spans="1:5" x14ac:dyDescent="0.35">
      <c r="A88" s="340" t="s">
        <v>1290</v>
      </c>
      <c r="B88" s="340">
        <v>701.4</v>
      </c>
    </row>
    <row r="89" spans="1:5" x14ac:dyDescent="0.35">
      <c r="A89" s="340" t="s">
        <v>1291</v>
      </c>
      <c r="B89" s="340">
        <v>686.7</v>
      </c>
    </row>
    <row r="90" spans="1:5" x14ac:dyDescent="0.35">
      <c r="A90" s="340" t="s">
        <v>1292</v>
      </c>
      <c r="B90" s="340" t="s">
        <v>1293</v>
      </c>
      <c r="C90">
        <v>2023</v>
      </c>
      <c r="D90">
        <f>AVERAGE(B58:B69)</f>
        <v>797.94166666666672</v>
      </c>
    </row>
    <row r="91" spans="1:5" x14ac:dyDescent="0.35">
      <c r="A91" s="340">
        <v>2022</v>
      </c>
      <c r="B91" s="340" t="s">
        <v>1294</v>
      </c>
    </row>
    <row r="92" spans="1:5" x14ac:dyDescent="0.35">
      <c r="A92" s="340">
        <v>2021</v>
      </c>
      <c r="B92" s="340">
        <v>708.8</v>
      </c>
    </row>
    <row r="93" spans="1:5" x14ac:dyDescent="0.35">
      <c r="A93" s="340">
        <v>2020</v>
      </c>
      <c r="B93" s="340">
        <v>596.20000000000005</v>
      </c>
    </row>
    <row r="94" spans="1:5" x14ac:dyDescent="0.35">
      <c r="A94" s="340">
        <v>2019</v>
      </c>
      <c r="B94" s="340" t="s">
        <v>1295</v>
      </c>
    </row>
    <row r="95" spans="1:5" x14ac:dyDescent="0.35">
      <c r="A95" s="340">
        <v>2018</v>
      </c>
      <c r="B95" s="340" t="s">
        <v>1296</v>
      </c>
      <c r="E95" t="s">
        <v>1316</v>
      </c>
    </row>
    <row r="96" spans="1:5" x14ac:dyDescent="0.35">
      <c r="A96" s="340">
        <v>2017</v>
      </c>
      <c r="B96" s="340" t="s">
        <v>1297</v>
      </c>
      <c r="E96">
        <f>D90/B98</f>
        <v>1.4330848898467434</v>
      </c>
    </row>
    <row r="97" spans="1:5" x14ac:dyDescent="0.35">
      <c r="A97" s="340">
        <v>2016</v>
      </c>
      <c r="B97" s="340" t="s">
        <v>1298</v>
      </c>
    </row>
    <row r="98" spans="1:5" x14ac:dyDescent="0.35">
      <c r="A98" s="340">
        <v>2015</v>
      </c>
      <c r="B98" s="340">
        <v>556.79999999999995</v>
      </c>
      <c r="E98" t="s">
        <v>1317</v>
      </c>
    </row>
    <row r="99" spans="1:5" x14ac:dyDescent="0.35">
      <c r="A99" s="340">
        <v>2014</v>
      </c>
      <c r="B99" s="340" t="s">
        <v>1299</v>
      </c>
      <c r="E99">
        <f>D90/B93</f>
        <v>1.338379179246338</v>
      </c>
    </row>
    <row r="100" spans="1:5" x14ac:dyDescent="0.35">
      <c r="A100" s="340">
        <v>2013</v>
      </c>
      <c r="B100" s="340" t="s">
        <v>1300</v>
      </c>
    </row>
    <row r="101" spans="1:5" x14ac:dyDescent="0.35">
      <c r="A101" s="340">
        <v>2012</v>
      </c>
      <c r="B101" s="340" t="s">
        <v>1301</v>
      </c>
    </row>
    <row r="102" spans="1:5" x14ac:dyDescent="0.35">
      <c r="A102" s="340">
        <v>2011</v>
      </c>
      <c r="B102" s="340" t="s">
        <v>1302</v>
      </c>
    </row>
    <row r="103" spans="1:5" x14ac:dyDescent="0.35">
      <c r="A103" s="340">
        <v>2010</v>
      </c>
      <c r="B103" s="340" t="s">
        <v>1303</v>
      </c>
    </row>
    <row r="104" spans="1:5" x14ac:dyDescent="0.35">
      <c r="A104" s="340">
        <v>2009</v>
      </c>
      <c r="B104" s="340" t="s">
        <v>1304</v>
      </c>
    </row>
    <row r="105" spans="1:5" x14ac:dyDescent="0.35">
      <c r="A105" s="340">
        <v>2008</v>
      </c>
      <c r="B105" s="340" t="s">
        <v>1305</v>
      </c>
    </row>
    <row r="106" spans="1:5" x14ac:dyDescent="0.35">
      <c r="A106" s="340">
        <v>2007</v>
      </c>
      <c r="B106" s="340" t="s">
        <v>1306</v>
      </c>
    </row>
    <row r="107" spans="1:5" x14ac:dyDescent="0.35">
      <c r="A107" s="340">
        <v>2006</v>
      </c>
      <c r="B107" s="340" t="s">
        <v>1307</v>
      </c>
    </row>
    <row r="108" spans="1:5" x14ac:dyDescent="0.35">
      <c r="A108" s="340">
        <v>2005</v>
      </c>
      <c r="B108" s="340" t="s">
        <v>1308</v>
      </c>
    </row>
    <row r="109" spans="1:5" x14ac:dyDescent="0.35">
      <c r="A109" s="340">
        <v>2004</v>
      </c>
      <c r="B109" s="340" t="s">
        <v>1309</v>
      </c>
    </row>
    <row r="110" spans="1:5" x14ac:dyDescent="0.35">
      <c r="A110" s="340">
        <v>2003</v>
      </c>
      <c r="B110" s="340" t="s">
        <v>1310</v>
      </c>
    </row>
    <row r="111" spans="1:5" x14ac:dyDescent="0.35">
      <c r="A111" s="340">
        <v>2002</v>
      </c>
      <c r="B111" s="340" t="s">
        <v>1311</v>
      </c>
    </row>
    <row r="112" spans="1:5" x14ac:dyDescent="0.35">
      <c r="A112" s="340">
        <v>2001</v>
      </c>
      <c r="B112" s="340" t="s">
        <v>1312</v>
      </c>
    </row>
    <row r="113" spans="1:2" x14ac:dyDescent="0.35">
      <c r="A113" s="341" t="s">
        <v>1313</v>
      </c>
      <c r="B113" s="341" t="s">
        <v>1314</v>
      </c>
    </row>
  </sheetData>
  <mergeCells count="20">
    <mergeCell ref="Q40:S40"/>
    <mergeCell ref="I48:K48"/>
    <mergeCell ref="I19:K19"/>
    <mergeCell ref="Q23:S23"/>
    <mergeCell ref="I26:K26"/>
    <mergeCell ref="M26:O26"/>
    <mergeCell ref="Q28:S28"/>
    <mergeCell ref="I34:K34"/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</mergeCells>
  <hyperlinks>
    <hyperlink ref="B54" r:id="rId1" xr:uid="{69FCE063-0E04-479D-BA44-31E7539DD86A}"/>
  </hyperlinks>
  <pageMargins left="0.7" right="0.7" top="0.75" bottom="0.75" header="0.3" footer="0.3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AC58A-6CFF-48A1-A2B4-F036941F6838}">
  <dimension ref="A2:D16"/>
  <sheetViews>
    <sheetView topLeftCell="A19" zoomScale="70" zoomScaleNormal="70" workbookViewId="0">
      <selection activeCell="S32" sqref="S32"/>
    </sheetView>
  </sheetViews>
  <sheetFormatPr defaultRowHeight="14.5" x14ac:dyDescent="0.35"/>
  <cols>
    <col min="1" max="1" width="33" customWidth="1"/>
    <col min="3" max="3" width="29.81640625" customWidth="1"/>
    <col min="4" max="4" width="34.08984375" customWidth="1"/>
  </cols>
  <sheetData>
    <row r="2" spans="1:4" x14ac:dyDescent="0.35">
      <c r="A2" t="s">
        <v>1333</v>
      </c>
      <c r="B2" t="s">
        <v>1334</v>
      </c>
    </row>
    <row r="3" spans="1:4" x14ac:dyDescent="0.35">
      <c r="B3" t="s">
        <v>37</v>
      </c>
      <c r="C3" t="s">
        <v>1335</v>
      </c>
      <c r="D3" t="s">
        <v>1336</v>
      </c>
    </row>
    <row r="4" spans="1:4" x14ac:dyDescent="0.35">
      <c r="A4">
        <v>150</v>
      </c>
      <c r="B4">
        <v>3.14</v>
      </c>
      <c r="C4">
        <v>2.82</v>
      </c>
      <c r="D4">
        <v>2.2999999999999998</v>
      </c>
    </row>
    <row r="5" spans="1:4" x14ac:dyDescent="0.35">
      <c r="A5">
        <v>500</v>
      </c>
      <c r="B5" s="3">
        <f>expenses_full_HTL!C48</f>
        <v>2.1009962552191928</v>
      </c>
      <c r="C5" s="3">
        <f>expenses_full_fuel_HTL_Up!C48</f>
        <v>1.8762836294358141</v>
      </c>
      <c r="D5" s="3">
        <f>expenses_full_fuel_HTL_UP_frac!C48</f>
        <v>1.3556987028895771</v>
      </c>
    </row>
    <row r="6" spans="1:4" x14ac:dyDescent="0.35">
      <c r="A6">
        <v>1000</v>
      </c>
      <c r="B6" s="3">
        <v>1.5740000000000001</v>
      </c>
      <c r="C6" s="3">
        <v>1.357</v>
      </c>
      <c r="D6" s="3">
        <v>0.77300000000000002</v>
      </c>
    </row>
    <row r="11" spans="1:4" x14ac:dyDescent="0.35">
      <c r="B11">
        <v>60</v>
      </c>
      <c r="C11">
        <v>588</v>
      </c>
      <c r="D11">
        <v>1494</v>
      </c>
    </row>
    <row r="12" spans="1:4" x14ac:dyDescent="0.35">
      <c r="A12" t="s">
        <v>37</v>
      </c>
      <c r="B12">
        <f>B4</f>
        <v>3.14</v>
      </c>
      <c r="C12">
        <v>2.1</v>
      </c>
      <c r="D12">
        <v>1.6080000000000001</v>
      </c>
    </row>
    <row r="13" spans="1:4" x14ac:dyDescent="0.35">
      <c r="A13" t="s">
        <v>1363</v>
      </c>
      <c r="B13">
        <f>C4</f>
        <v>2.82</v>
      </c>
      <c r="C13">
        <v>1.88</v>
      </c>
      <c r="D13">
        <v>1.38</v>
      </c>
    </row>
    <row r="14" spans="1:4" x14ac:dyDescent="0.35">
      <c r="A14" t="s">
        <v>1364</v>
      </c>
      <c r="B14">
        <f>D4</f>
        <v>2.2999999999999998</v>
      </c>
      <c r="C14">
        <v>1.36</v>
      </c>
      <c r="D14">
        <v>0.8</v>
      </c>
    </row>
    <row r="15" spans="1:4" x14ac:dyDescent="0.35">
      <c r="A15" t="s">
        <v>1377</v>
      </c>
      <c r="B15">
        <v>2.5</v>
      </c>
      <c r="C15">
        <v>1.7</v>
      </c>
      <c r="D15">
        <v>1.24</v>
      </c>
    </row>
    <row r="16" spans="1:4" x14ac:dyDescent="0.35">
      <c r="A16" t="s">
        <v>1376</v>
      </c>
      <c r="B16">
        <v>1.99</v>
      </c>
      <c r="C16">
        <v>1.18</v>
      </c>
      <c r="D16">
        <v>0.66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09AEC-1F43-4936-80CB-CCE7E33D96D7}">
  <dimension ref="A7:O71"/>
  <sheetViews>
    <sheetView topLeftCell="A48" zoomScale="70" zoomScaleNormal="70" workbookViewId="0">
      <selection activeCell="G69" sqref="G69"/>
    </sheetView>
  </sheetViews>
  <sheetFormatPr defaultRowHeight="14.5" x14ac:dyDescent="0.35"/>
  <cols>
    <col min="1" max="1" width="54.26953125" customWidth="1"/>
    <col min="3" max="3" width="28.453125" customWidth="1"/>
  </cols>
  <sheetData>
    <row r="7" spans="1:14" x14ac:dyDescent="0.35">
      <c r="C7" t="s">
        <v>1338</v>
      </c>
      <c r="D7" t="s">
        <v>1339</v>
      </c>
      <c r="E7" t="s">
        <v>1337</v>
      </c>
      <c r="F7" t="s">
        <v>1340</v>
      </c>
      <c r="G7" t="s">
        <v>1341</v>
      </c>
    </row>
    <row r="8" spans="1:14" x14ac:dyDescent="0.35">
      <c r="A8" t="s">
        <v>1342</v>
      </c>
      <c r="C8">
        <v>3.6230000000000002</v>
      </c>
      <c r="D8">
        <v>2.4569999999999999</v>
      </c>
      <c r="E8">
        <f>expenses_full_fuel_HTL_Up!C48</f>
        <v>1.8762836294358141</v>
      </c>
      <c r="F8">
        <v>1.524</v>
      </c>
      <c r="G8">
        <v>1.2909999999999999</v>
      </c>
      <c r="J8">
        <v>3.6230000000000002</v>
      </c>
      <c r="K8">
        <v>2.4569999999999999</v>
      </c>
      <c r="L8">
        <v>1.8759999999999999</v>
      </c>
      <c r="M8">
        <v>1.524</v>
      </c>
      <c r="N8">
        <v>1.2909999999999999</v>
      </c>
    </row>
    <row r="9" spans="1:14" x14ac:dyDescent="0.35">
      <c r="A9" t="s">
        <v>1343</v>
      </c>
      <c r="C9">
        <v>1.48</v>
      </c>
      <c r="D9">
        <v>1.677</v>
      </c>
      <c r="E9">
        <f>expenses_full_fuel_HTL_Up!C48</f>
        <v>1.8762836294358141</v>
      </c>
      <c r="F9">
        <v>2.0710000000000002</v>
      </c>
      <c r="G9">
        <v>2.2679999999999998</v>
      </c>
      <c r="J9">
        <v>1.48</v>
      </c>
      <c r="K9">
        <v>1.677</v>
      </c>
      <c r="L9">
        <v>1.8759999999999999</v>
      </c>
      <c r="M9">
        <v>2.0710000000000002</v>
      </c>
      <c r="N9">
        <v>2.2679999999999998</v>
      </c>
    </row>
    <row r="10" spans="1:14" x14ac:dyDescent="0.35">
      <c r="A10" t="s">
        <v>1211</v>
      </c>
      <c r="C10">
        <v>1.6040000000000001</v>
      </c>
      <c r="D10">
        <v>1.708</v>
      </c>
      <c r="E10">
        <f>expenses_full_fuel_HTL_Up!C48</f>
        <v>1.8762836294358141</v>
      </c>
      <c r="F10">
        <v>2.12</v>
      </c>
      <c r="G10">
        <v>2.6440000000000001</v>
      </c>
      <c r="J10">
        <v>1.6040000000000001</v>
      </c>
      <c r="K10">
        <v>1.708</v>
      </c>
      <c r="L10">
        <v>1.8759999999999999</v>
      </c>
      <c r="M10">
        <v>2.12</v>
      </c>
      <c r="N10">
        <v>2.6440000000000001</v>
      </c>
    </row>
    <row r="11" spans="1:14" x14ac:dyDescent="0.35">
      <c r="A11" t="s">
        <v>1354</v>
      </c>
      <c r="C11">
        <v>1.8660000000000001</v>
      </c>
      <c r="D11">
        <v>1.869</v>
      </c>
      <c r="E11">
        <f>expenses_full_fuel_HTL_Up!C48</f>
        <v>1.8762836294358141</v>
      </c>
      <c r="F11">
        <v>1.8779999999999999</v>
      </c>
      <c r="G11">
        <v>1.8819999999999999</v>
      </c>
      <c r="J11">
        <v>1.8660000000000001</v>
      </c>
      <c r="K11">
        <v>1.869</v>
      </c>
      <c r="L11">
        <v>1.8759999999999999</v>
      </c>
      <c r="M11">
        <v>1.8779999999999999</v>
      </c>
      <c r="N11">
        <v>1.8819999999999999</v>
      </c>
    </row>
    <row r="12" spans="1:14" x14ac:dyDescent="0.35">
      <c r="A12" t="s">
        <v>1355</v>
      </c>
      <c r="C12">
        <v>1.843</v>
      </c>
      <c r="D12">
        <v>1.859</v>
      </c>
      <c r="E12">
        <f>expenses_full_fuel_HTL_Up!C48</f>
        <v>1.8762836294358141</v>
      </c>
      <c r="F12">
        <v>1.893</v>
      </c>
      <c r="G12">
        <v>1.909</v>
      </c>
      <c r="J12">
        <v>1.843</v>
      </c>
      <c r="K12">
        <v>1.859</v>
      </c>
      <c r="L12">
        <v>1.8759999999999999</v>
      </c>
      <c r="M12">
        <v>1.893</v>
      </c>
      <c r="N12">
        <v>1.909</v>
      </c>
    </row>
    <row r="13" spans="1:14" x14ac:dyDescent="0.35">
      <c r="A13" t="s">
        <v>1372</v>
      </c>
      <c r="E13">
        <f>expenses_full_fuel_HTL_Up!C48</f>
        <v>1.8762836294358141</v>
      </c>
      <c r="F13">
        <v>1.633</v>
      </c>
      <c r="G13">
        <v>1.444</v>
      </c>
    </row>
    <row r="14" spans="1:14" x14ac:dyDescent="0.35">
      <c r="A14" t="s">
        <v>1401</v>
      </c>
      <c r="C14">
        <v>1.7819368530612658</v>
      </c>
      <c r="E14">
        <f>expenses_full_fuel_HTL_Up!C48</f>
        <v>1.8762836294358141</v>
      </c>
    </row>
    <row r="15" spans="1:14" x14ac:dyDescent="0.35">
      <c r="A15" t="s">
        <v>1403</v>
      </c>
      <c r="C15">
        <v>1.5150702570304004</v>
      </c>
      <c r="E15">
        <f>expenses_full_fuel_HTL_Up!C48</f>
        <v>1.8762836294358141</v>
      </c>
    </row>
    <row r="17" spans="1:15" x14ac:dyDescent="0.35">
      <c r="K17" t="s">
        <v>1368</v>
      </c>
      <c r="L17" t="s">
        <v>1344</v>
      </c>
      <c r="M17" t="s">
        <v>1345</v>
      </c>
      <c r="N17" t="s">
        <v>1365</v>
      </c>
      <c r="O17" t="s">
        <v>1366</v>
      </c>
    </row>
    <row r="18" spans="1:15" x14ac:dyDescent="0.35">
      <c r="J18">
        <v>0</v>
      </c>
      <c r="K18">
        <v>3.6230000000000002</v>
      </c>
      <c r="L18">
        <v>1.48</v>
      </c>
      <c r="M18">
        <v>1.6040000000000001</v>
      </c>
      <c r="N18">
        <v>1.8660000000000001</v>
      </c>
      <c r="O18">
        <v>1.843</v>
      </c>
    </row>
    <row r="19" spans="1:15" x14ac:dyDescent="0.35">
      <c r="J19">
        <v>1</v>
      </c>
      <c r="K19">
        <v>2.4569999999999999</v>
      </c>
      <c r="L19">
        <v>1.677</v>
      </c>
      <c r="M19">
        <v>1.708</v>
      </c>
      <c r="N19">
        <v>1.869</v>
      </c>
      <c r="O19">
        <v>1.859</v>
      </c>
    </row>
    <row r="20" spans="1:15" x14ac:dyDescent="0.35">
      <c r="J20" t="s">
        <v>1367</v>
      </c>
      <c r="K20">
        <v>1.8759999999999999</v>
      </c>
      <c r="L20">
        <v>1.8759999999999999</v>
      </c>
      <c r="M20">
        <v>1.8759999999999999</v>
      </c>
      <c r="N20">
        <v>1.8759999999999999</v>
      </c>
      <c r="O20">
        <v>1.8759999999999999</v>
      </c>
    </row>
    <row r="21" spans="1:15" x14ac:dyDescent="0.35">
      <c r="A21" t="s">
        <v>1342</v>
      </c>
      <c r="C21">
        <f>E21*0.5</f>
        <v>445</v>
      </c>
      <c r="D21">
        <f>E21*0.75</f>
        <v>667.5</v>
      </c>
      <c r="E21">
        <v>890</v>
      </c>
      <c r="F21">
        <f>E21*1.25</f>
        <v>1112.5</v>
      </c>
      <c r="G21">
        <f>E21*1.5</f>
        <v>1335</v>
      </c>
      <c r="J21">
        <v>2</v>
      </c>
      <c r="K21">
        <v>1.524</v>
      </c>
      <c r="L21">
        <v>2.0710000000000002</v>
      </c>
      <c r="M21">
        <v>2.12</v>
      </c>
      <c r="N21">
        <v>1.8779999999999999</v>
      </c>
      <c r="O21">
        <v>1.893</v>
      </c>
    </row>
    <row r="22" spans="1:15" x14ac:dyDescent="0.35">
      <c r="A22" t="s">
        <v>1344</v>
      </c>
      <c r="C22">
        <f>E22*0.5</f>
        <v>62.35</v>
      </c>
      <c r="D22">
        <f>E22*0.75</f>
        <v>93.525000000000006</v>
      </c>
      <c r="E22">
        <v>124.7</v>
      </c>
      <c r="F22">
        <f>E22*1.25</f>
        <v>155.875</v>
      </c>
      <c r="G22">
        <f>E22*1.5</f>
        <v>187.05</v>
      </c>
      <c r="J22">
        <v>3</v>
      </c>
      <c r="K22">
        <v>1.2909999999999999</v>
      </c>
      <c r="L22">
        <v>2.2679999999999998</v>
      </c>
      <c r="M22">
        <v>2.6440000000000001</v>
      </c>
      <c r="N22">
        <v>1.8819999999999999</v>
      </c>
      <c r="O22">
        <v>1.909</v>
      </c>
    </row>
    <row r="23" spans="1:15" x14ac:dyDescent="0.35">
      <c r="A23" t="s">
        <v>1345</v>
      </c>
      <c r="C23">
        <v>0</v>
      </c>
      <c r="D23">
        <v>10</v>
      </c>
      <c r="E23">
        <v>25</v>
      </c>
      <c r="F23">
        <v>50</v>
      </c>
      <c r="G23">
        <v>100</v>
      </c>
    </row>
    <row r="24" spans="1:15" x14ac:dyDescent="0.35">
      <c r="A24" t="s">
        <v>1353</v>
      </c>
      <c r="C24">
        <v>6</v>
      </c>
      <c r="D24">
        <v>9</v>
      </c>
      <c r="E24">
        <v>12</v>
      </c>
      <c r="F24">
        <v>15</v>
      </c>
      <c r="G24">
        <v>18</v>
      </c>
    </row>
    <row r="25" spans="1:15" x14ac:dyDescent="0.35">
      <c r="A25" t="s">
        <v>1356</v>
      </c>
      <c r="C25">
        <v>0.21</v>
      </c>
      <c r="D25">
        <v>0.24</v>
      </c>
      <c r="E25">
        <v>0.27</v>
      </c>
      <c r="F25">
        <v>0.3</v>
      </c>
      <c r="G25">
        <v>0.33</v>
      </c>
    </row>
    <row r="26" spans="1:15" x14ac:dyDescent="0.35">
      <c r="A26" t="s">
        <v>1371</v>
      </c>
      <c r="E26">
        <v>0.30099999999999999</v>
      </c>
      <c r="F26">
        <v>0.35</v>
      </c>
      <c r="G26">
        <v>0.4</v>
      </c>
    </row>
    <row r="31" spans="1:15" x14ac:dyDescent="0.35">
      <c r="C31" t="s">
        <v>1338</v>
      </c>
      <c r="D31" t="s">
        <v>1339</v>
      </c>
      <c r="E31" t="s">
        <v>1337</v>
      </c>
      <c r="F31" t="s">
        <v>1340</v>
      </c>
      <c r="G31" t="s">
        <v>1341</v>
      </c>
    </row>
    <row r="32" spans="1:15" x14ac:dyDescent="0.35">
      <c r="A32" t="s">
        <v>1342</v>
      </c>
      <c r="C32">
        <v>3.6230000000000002</v>
      </c>
      <c r="D32">
        <v>2.4569999999999999</v>
      </c>
      <c r="E32">
        <v>1.8762787950673685</v>
      </c>
      <c r="F32">
        <v>1.524</v>
      </c>
      <c r="G32">
        <v>1.2909999999999999</v>
      </c>
    </row>
    <row r="33" spans="1:7" x14ac:dyDescent="0.35">
      <c r="A33" t="s">
        <v>1343</v>
      </c>
      <c r="C33">
        <v>1.48</v>
      </c>
      <c r="D33">
        <v>1.677</v>
      </c>
      <c r="E33">
        <v>1.8762787950673685</v>
      </c>
      <c r="F33">
        <v>2.0710000000000002</v>
      </c>
      <c r="G33">
        <v>2.2679999999999998</v>
      </c>
    </row>
    <row r="34" spans="1:7" x14ac:dyDescent="0.35">
      <c r="A34" t="s">
        <v>1211</v>
      </c>
      <c r="C34">
        <v>1.6040000000000001</v>
      </c>
      <c r="D34">
        <v>1.708</v>
      </c>
      <c r="E34">
        <v>1.8762787950673685</v>
      </c>
      <c r="F34">
        <v>2.12</v>
      </c>
      <c r="G34">
        <v>2.6440000000000001</v>
      </c>
    </row>
    <row r="35" spans="1:7" x14ac:dyDescent="0.35">
      <c r="A35" t="s">
        <v>1354</v>
      </c>
      <c r="C35">
        <v>1.8660000000000001</v>
      </c>
      <c r="D35">
        <v>1.869</v>
      </c>
      <c r="E35">
        <v>1.8762787950673685</v>
      </c>
      <c r="F35">
        <v>1.8779999999999999</v>
      </c>
      <c r="G35">
        <v>1.8819999999999999</v>
      </c>
    </row>
    <row r="36" spans="1:7" x14ac:dyDescent="0.35">
      <c r="A36" t="s">
        <v>1355</v>
      </c>
      <c r="C36">
        <v>1.843</v>
      </c>
      <c r="D36">
        <v>1.859</v>
      </c>
      <c r="E36">
        <v>1.8762787950673685</v>
      </c>
      <c r="F36">
        <v>1.893</v>
      </c>
      <c r="G36">
        <v>1.909</v>
      </c>
    </row>
    <row r="37" spans="1:7" x14ac:dyDescent="0.35">
      <c r="C37" t="s">
        <v>1338</v>
      </c>
      <c r="D37" t="s">
        <v>1339</v>
      </c>
      <c r="E37" t="s">
        <v>1337</v>
      </c>
      <c r="F37" t="s">
        <v>1340</v>
      </c>
      <c r="G37" t="s">
        <v>1341</v>
      </c>
    </row>
    <row r="38" spans="1:7" x14ac:dyDescent="0.35">
      <c r="A38" t="s">
        <v>1342</v>
      </c>
      <c r="C38">
        <f>(C32-E32)/E32*100</f>
        <v>93.094971255053551</v>
      </c>
      <c r="D38">
        <f>((D32-E32)/E32)*100</f>
        <v>30.950688482933071</v>
      </c>
      <c r="E38">
        <f>E32-$E$32</f>
        <v>0</v>
      </c>
      <c r="F38">
        <f>(F32-E32)/E32*100</f>
        <v>-18.775397131465198</v>
      </c>
      <c r="G38">
        <f>G32-E32</f>
        <v>-0.58527879506736857</v>
      </c>
    </row>
    <row r="39" spans="1:7" x14ac:dyDescent="0.35">
      <c r="A39" t="s">
        <v>1343</v>
      </c>
      <c r="C39">
        <f t="shared" ref="C39:C42" si="0">(C33-E33)/E33*100</f>
        <v>-21.120464405884839</v>
      </c>
      <c r="D39">
        <f t="shared" ref="D39:D42" si="1">((D33-E33)/E33)*100</f>
        <v>-10.620958654505994</v>
      </c>
      <c r="E39">
        <f t="shared" ref="E39:E42" si="2">E33-$E$32</f>
        <v>0</v>
      </c>
      <c r="F39">
        <f t="shared" ref="F39:F42" si="3">(F33-E33)/E33*100</f>
        <v>10.378052848251698</v>
      </c>
      <c r="G39">
        <f t="shared" ref="G39:G42" si="4">G33-E33</f>
        <v>0.3917212049326313</v>
      </c>
    </row>
    <row r="40" spans="1:7" x14ac:dyDescent="0.35">
      <c r="A40" t="s">
        <v>1211</v>
      </c>
      <c r="C40">
        <f t="shared" si="0"/>
        <v>-14.511638450702213</v>
      </c>
      <c r="D40">
        <f t="shared" si="1"/>
        <v>-8.9687521657103435</v>
      </c>
      <c r="E40">
        <f t="shared" si="2"/>
        <v>0</v>
      </c>
      <c r="F40">
        <f t="shared" si="3"/>
        <v>12.989605040219022</v>
      </c>
      <c r="G40">
        <f t="shared" si="4"/>
        <v>0.76772120493263163</v>
      </c>
    </row>
    <row r="41" spans="1:7" x14ac:dyDescent="0.35">
      <c r="A41" t="s">
        <v>1354</v>
      </c>
      <c r="C41">
        <f t="shared" si="0"/>
        <v>-0.54782877120344642</v>
      </c>
      <c r="D41">
        <f t="shared" si="1"/>
        <v>-0.38793782067484039</v>
      </c>
      <c r="E41">
        <f t="shared" si="2"/>
        <v>0</v>
      </c>
      <c r="F41">
        <f t="shared" si="3"/>
        <v>9.1735030910989543E-2</v>
      </c>
      <c r="G41">
        <f t="shared" si="4"/>
        <v>5.7212049326313963E-3</v>
      </c>
    </row>
    <row r="42" spans="1:7" x14ac:dyDescent="0.35">
      <c r="A42" t="s">
        <v>1355</v>
      </c>
      <c r="C42">
        <f t="shared" si="0"/>
        <v>-1.7736593919228105</v>
      </c>
      <c r="D42">
        <f t="shared" si="1"/>
        <v>-0.92090765577021361</v>
      </c>
      <c r="E42">
        <f t="shared" si="2"/>
        <v>0</v>
      </c>
      <c r="F42">
        <f t="shared" si="3"/>
        <v>0.8911897835540552</v>
      </c>
      <c r="G42">
        <f t="shared" si="4"/>
        <v>3.2721204932631531E-2</v>
      </c>
    </row>
    <row r="46" spans="1:7" x14ac:dyDescent="0.35">
      <c r="D46" t="s">
        <v>1339</v>
      </c>
      <c r="E46" t="s">
        <v>1367</v>
      </c>
      <c r="F46" t="s">
        <v>1340</v>
      </c>
      <c r="G46" t="s">
        <v>1341</v>
      </c>
    </row>
    <row r="47" spans="1:7" x14ac:dyDescent="0.35">
      <c r="A47" t="s">
        <v>1342</v>
      </c>
      <c r="C47">
        <f>C8-$E$8</f>
        <v>1.7467163705641862</v>
      </c>
      <c r="D47">
        <f t="shared" ref="D47:G47" si="5">D8-$E$8</f>
        <v>0.58071637056418579</v>
      </c>
      <c r="E47">
        <f t="shared" si="5"/>
        <v>0</v>
      </c>
      <c r="F47">
        <f t="shared" si="5"/>
        <v>-0.35228362943581404</v>
      </c>
      <c r="G47">
        <f t="shared" si="5"/>
        <v>-0.58528362943581413</v>
      </c>
    </row>
    <row r="48" spans="1:7" x14ac:dyDescent="0.35">
      <c r="A48" t="s">
        <v>1344</v>
      </c>
      <c r="C48">
        <f t="shared" ref="C48:G52" si="6">C9-$E$8</f>
        <v>-0.39628362943581408</v>
      </c>
      <c r="D48">
        <f t="shared" si="6"/>
        <v>-0.19928362943581401</v>
      </c>
      <c r="E48">
        <f t="shared" si="6"/>
        <v>0</v>
      </c>
      <c r="F48">
        <f t="shared" si="6"/>
        <v>0.19471637056418611</v>
      </c>
      <c r="G48">
        <f t="shared" si="6"/>
        <v>0.39171637056418573</v>
      </c>
    </row>
    <row r="49" spans="1:7" x14ac:dyDescent="0.35">
      <c r="A49" t="s">
        <v>1345</v>
      </c>
      <c r="C49">
        <f t="shared" si="6"/>
        <v>-0.27228362943581397</v>
      </c>
      <c r="D49">
        <f t="shared" si="6"/>
        <v>-0.1682836294358141</v>
      </c>
      <c r="E49">
        <f t="shared" si="6"/>
        <v>0</v>
      </c>
      <c r="F49">
        <f t="shared" si="6"/>
        <v>0.24371637056418605</v>
      </c>
      <c r="G49">
        <f t="shared" si="6"/>
        <v>0.76771637056418607</v>
      </c>
    </row>
    <row r="50" spans="1:7" x14ac:dyDescent="0.35">
      <c r="A50" t="s">
        <v>1353</v>
      </c>
      <c r="C50">
        <f t="shared" si="6"/>
        <v>-1.0283629435813957E-2</v>
      </c>
      <c r="D50">
        <f t="shared" si="6"/>
        <v>-7.2836294358140652E-3</v>
      </c>
      <c r="E50">
        <f t="shared" si="6"/>
        <v>0</v>
      </c>
      <c r="F50">
        <f t="shared" si="6"/>
        <v>1.7163705641858318E-3</v>
      </c>
      <c r="G50">
        <f t="shared" si="6"/>
        <v>5.7163705641858353E-3</v>
      </c>
    </row>
    <row r="51" spans="1:7" x14ac:dyDescent="0.35">
      <c r="A51" t="s">
        <v>1356</v>
      </c>
      <c r="C51">
        <f t="shared" si="6"/>
        <v>-3.3283629435814088E-2</v>
      </c>
      <c r="D51">
        <f t="shared" si="6"/>
        <v>-1.7283629435814074E-2</v>
      </c>
      <c r="E51">
        <f t="shared" si="6"/>
        <v>0</v>
      </c>
      <c r="F51">
        <f t="shared" si="6"/>
        <v>1.6716370564185956E-2</v>
      </c>
      <c r="G51">
        <f t="shared" si="6"/>
        <v>3.271637056418597E-2</v>
      </c>
    </row>
    <row r="52" spans="1:7" x14ac:dyDescent="0.35">
      <c r="A52" t="s">
        <v>1371</v>
      </c>
      <c r="E52">
        <f t="shared" si="6"/>
        <v>0</v>
      </c>
      <c r="F52">
        <f t="shared" si="6"/>
        <v>-0.24328362943581405</v>
      </c>
      <c r="G52">
        <f t="shared" si="6"/>
        <v>-0.43228362943581411</v>
      </c>
    </row>
    <row r="55" spans="1:7" x14ac:dyDescent="0.35">
      <c r="C55" t="s">
        <v>1373</v>
      </c>
      <c r="E55" t="s">
        <v>1367</v>
      </c>
      <c r="G55" t="s">
        <v>1374</v>
      </c>
    </row>
    <row r="56" spans="1:7" x14ac:dyDescent="0.35">
      <c r="A56" t="s">
        <v>1396</v>
      </c>
      <c r="C56">
        <f>((C8-$E$8)/($E$8))*100</f>
        <v>93.094473733132347</v>
      </c>
      <c r="E56">
        <f t="shared" ref="E56:G56" si="7">((E8-$E$8)/($E$8))*100</f>
        <v>0</v>
      </c>
      <c r="G56">
        <f t="shared" si="7"/>
        <v>-31.193771573427043</v>
      </c>
    </row>
    <row r="57" spans="1:7" x14ac:dyDescent="0.35">
      <c r="A57" t="s">
        <v>1395</v>
      </c>
      <c r="C57">
        <f t="shared" ref="C57:G63" si="8">((C9-$E$8)/($E$8))*100</f>
        <v>-21.120667644207604</v>
      </c>
      <c r="E57">
        <f t="shared" si="8"/>
        <v>0</v>
      </c>
      <c r="G57">
        <f t="shared" si="8"/>
        <v>20.877247150633202</v>
      </c>
    </row>
    <row r="58" spans="1:7" x14ac:dyDescent="0.35">
      <c r="A58" t="s">
        <v>1397</v>
      </c>
      <c r="C58">
        <f t="shared" si="8"/>
        <v>-14.511858717100667</v>
      </c>
      <c r="E58">
        <f t="shared" si="8"/>
        <v>0</v>
      </c>
      <c r="G58">
        <f t="shared" si="8"/>
        <v>40.916861316699396</v>
      </c>
    </row>
    <row r="59" spans="1:7" x14ac:dyDescent="0.35">
      <c r="A59" t="s">
        <v>1398</v>
      </c>
      <c r="C59">
        <f t="shared" si="8"/>
        <v>-0.54808501627795869</v>
      </c>
      <c r="E59">
        <f t="shared" si="8"/>
        <v>0</v>
      </c>
      <c r="G59">
        <f t="shared" si="8"/>
        <v>0.30466452270356958</v>
      </c>
    </row>
    <row r="60" spans="1:7" x14ac:dyDescent="0.35">
      <c r="A60" t="s">
        <v>1399</v>
      </c>
      <c r="C60">
        <f t="shared" si="8"/>
        <v>-1.7739124785639289</v>
      </c>
      <c r="E60">
        <f t="shared" si="8"/>
        <v>0</v>
      </c>
      <c r="G60">
        <f t="shared" si="8"/>
        <v>1.7436793697349247</v>
      </c>
    </row>
    <row r="61" spans="1:7" x14ac:dyDescent="0.35">
      <c r="A61" t="s">
        <v>1375</v>
      </c>
      <c r="E61">
        <f t="shared" si="8"/>
        <v>0</v>
      </c>
      <c r="G61">
        <f t="shared" si="8"/>
        <v>-23.039354106916068</v>
      </c>
    </row>
    <row r="62" spans="1:7" x14ac:dyDescent="0.35">
      <c r="A62" t="s">
        <v>1402</v>
      </c>
      <c r="C62">
        <f t="shared" ref="C62:C63" si="9">((C14-$E$8)/($E$8))*100</f>
        <v>-5.0283856286119004</v>
      </c>
      <c r="E62">
        <f t="shared" si="8"/>
        <v>0</v>
      </c>
    </row>
    <row r="63" spans="1:7" x14ac:dyDescent="0.35">
      <c r="A63" t="s">
        <v>1404</v>
      </c>
      <c r="C63">
        <f t="shared" si="9"/>
        <v>-19.251533549542724</v>
      </c>
      <c r="E63">
        <f t="shared" si="8"/>
        <v>0</v>
      </c>
    </row>
    <row r="70" spans="2:3" x14ac:dyDescent="0.35">
      <c r="B70" s="345"/>
      <c r="C70" t="s">
        <v>1406</v>
      </c>
    </row>
    <row r="71" spans="2:3" x14ac:dyDescent="0.35">
      <c r="B71" s="346"/>
      <c r="C71" t="s">
        <v>1405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F7F52-E8BF-4B30-8898-A0080259535D}">
  <dimension ref="A1:K55"/>
  <sheetViews>
    <sheetView topLeftCell="A33" workbookViewId="0">
      <selection activeCell="C48" sqref="C48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1" spans="1:11" x14ac:dyDescent="0.35">
      <c r="E1">
        <v>214000</v>
      </c>
      <c r="F1" t="s">
        <v>1025</v>
      </c>
    </row>
    <row r="2" spans="1:11" x14ac:dyDescent="0.35">
      <c r="A2" s="166" t="s">
        <v>920</v>
      </c>
      <c r="B2" s="168" t="s">
        <v>750</v>
      </c>
      <c r="C2" s="169">
        <f>C3+C10+C11+C12</f>
        <v>145.33458213566803</v>
      </c>
      <c r="D2">
        <v>216.41061865457138</v>
      </c>
      <c r="E2">
        <v>354725.6</v>
      </c>
      <c r="F2" t="s">
        <v>1026</v>
      </c>
    </row>
    <row r="3" spans="1:11" x14ac:dyDescent="0.35">
      <c r="A3" s="170" t="s">
        <v>921</v>
      </c>
      <c r="B3" s="168" t="s">
        <v>750</v>
      </c>
      <c r="C3" s="172">
        <f>C4+C9</f>
        <v>79.562727446533586</v>
      </c>
      <c r="D3">
        <v>132.60454574422266</v>
      </c>
      <c r="E3">
        <v>180000</v>
      </c>
    </row>
    <row r="4" spans="1:11" x14ac:dyDescent="0.35">
      <c r="A4" s="173" t="s">
        <v>922</v>
      </c>
      <c r="B4" s="168" t="s">
        <v>750</v>
      </c>
      <c r="C4" s="175">
        <f>SUM(C5:C8)</f>
        <v>53.041818297689062</v>
      </c>
      <c r="D4">
        <v>53.041818297689062</v>
      </c>
    </row>
    <row r="5" spans="1:11" x14ac:dyDescent="0.35">
      <c r="A5" s="176" t="s">
        <v>923</v>
      </c>
      <c r="B5" s="168" t="s">
        <v>750</v>
      </c>
      <c r="C5" s="178">
        <v>0</v>
      </c>
      <c r="D5">
        <v>0</v>
      </c>
    </row>
    <row r="6" spans="1:11" x14ac:dyDescent="0.35">
      <c r="A6" s="176" t="s">
        <v>924</v>
      </c>
      <c r="B6" s="168" t="s">
        <v>750</v>
      </c>
      <c r="C6" s="178">
        <f>'Expenses variable '!C76*(('yields '!C28*Refinery!B1/24330)^0.75)</f>
        <v>38.037465210646751</v>
      </c>
      <c r="D6">
        <v>38.037465210646751</v>
      </c>
    </row>
    <row r="7" spans="1:11" x14ac:dyDescent="0.35">
      <c r="A7" s="176" t="s">
        <v>925</v>
      </c>
      <c r="B7" s="168" t="s">
        <v>750</v>
      </c>
      <c r="C7" s="178">
        <f>'Expenses variable '!C77*(('yields '!C31*Refinery!B1/734)^0.75)</f>
        <v>8.5833886602817611</v>
      </c>
      <c r="D7">
        <v>8.5833886602817611</v>
      </c>
    </row>
    <row r="8" spans="1:11" x14ac:dyDescent="0.35">
      <c r="A8" s="176" t="s">
        <v>926</v>
      </c>
      <c r="B8" s="168" t="s">
        <v>750</v>
      </c>
      <c r="C8" s="178">
        <f>'Expenses variable '!C82*(('yields '!C33*(Refinery!B1/24)/'Expenses variable '!B82)^0.7)</f>
        <v>6.4209644267605457</v>
      </c>
      <c r="D8">
        <v>6.4209644267605457</v>
      </c>
    </row>
    <row r="9" spans="1:11" x14ac:dyDescent="0.35">
      <c r="A9" s="179" t="s">
        <v>927</v>
      </c>
      <c r="B9" s="168" t="s">
        <v>750</v>
      </c>
      <c r="C9" s="175">
        <f>C4*0.5</f>
        <v>26.520909148844531</v>
      </c>
      <c r="D9">
        <v>79.562727446533586</v>
      </c>
    </row>
    <row r="10" spans="1:11" x14ac:dyDescent="0.35">
      <c r="A10" s="180" t="s">
        <v>928</v>
      </c>
      <c r="B10" s="168" t="s">
        <v>750</v>
      </c>
      <c r="C10" s="172">
        <f>C3*'Expenses variable '!C4</f>
        <v>27.051327331821422</v>
      </c>
      <c r="D10">
        <v>45.085545553035708</v>
      </c>
    </row>
    <row r="11" spans="1:11" x14ac:dyDescent="0.35">
      <c r="A11" s="180" t="s">
        <v>886</v>
      </c>
      <c r="B11" s="168" t="s">
        <v>750</v>
      </c>
      <c r="C11" s="172">
        <f>C4*'Expenses variable '!C5</f>
        <v>12.199618208468484</v>
      </c>
      <c r="D11">
        <v>12.199618208468484</v>
      </c>
    </row>
    <row r="12" spans="1:11" x14ac:dyDescent="0.35">
      <c r="A12" s="170" t="s">
        <v>873</v>
      </c>
      <c r="B12" s="168" t="s">
        <v>750</v>
      </c>
      <c r="C12" s="172">
        <f>C4*0.5</f>
        <v>26.520909148844531</v>
      </c>
      <c r="D12">
        <v>26.520909148844531</v>
      </c>
      <c r="E12">
        <v>25</v>
      </c>
      <c r="F12" t="s">
        <v>487</v>
      </c>
      <c r="G12" t="s">
        <v>1248</v>
      </c>
    </row>
    <row r="13" spans="1:11" x14ac:dyDescent="0.35">
      <c r="A13" s="166" t="s">
        <v>888</v>
      </c>
      <c r="B13" s="168" t="s">
        <v>750</v>
      </c>
      <c r="C13" s="169">
        <f>C41*'Expenses variable '!C7</f>
        <v>10.532037987722525</v>
      </c>
      <c r="D13">
        <v>10.532037987722525</v>
      </c>
      <c r="E13">
        <v>3.1</v>
      </c>
      <c r="F13" t="s">
        <v>1216</v>
      </c>
      <c r="G13" t="s">
        <v>1110</v>
      </c>
    </row>
    <row r="14" spans="1:11" x14ac:dyDescent="0.35">
      <c r="A14" s="166" t="s">
        <v>929</v>
      </c>
      <c r="B14" s="168" t="s">
        <v>750</v>
      </c>
      <c r="C14" s="181">
        <f>'Expenses variable '!C8*C2</f>
        <v>14.533458213566803</v>
      </c>
      <c r="D14">
        <v>21.641061865457139</v>
      </c>
      <c r="F14" s="128"/>
    </row>
    <row r="15" spans="1:11" x14ac:dyDescent="0.35">
      <c r="A15" s="182" t="s">
        <v>930</v>
      </c>
      <c r="B15" s="168" t="s">
        <v>750</v>
      </c>
      <c r="C15" s="184">
        <f>C2+C13+C14</f>
        <v>170.40007833695736</v>
      </c>
      <c r="D15">
        <v>248.58371850775106</v>
      </c>
      <c r="F15" s="128"/>
    </row>
    <row r="16" spans="1:11" x14ac:dyDescent="0.35">
      <c r="A16" s="182" t="s">
        <v>931</v>
      </c>
      <c r="B16" s="168" t="s">
        <v>750</v>
      </c>
      <c r="C16" s="184">
        <f>C15*'Expenses variable '!C9</f>
        <v>153.36007050326162</v>
      </c>
      <c r="D16">
        <v>223.72534665697594</v>
      </c>
      <c r="F16" s="155"/>
      <c r="I16" s="173" t="s">
        <v>922</v>
      </c>
      <c r="J16" s="175">
        <v>53.041818297689062</v>
      </c>
      <c r="K16" s="312">
        <f>(J16/$C$15)*100</f>
        <v>31.127813329288266</v>
      </c>
    </row>
    <row r="17" spans="1:11" x14ac:dyDescent="0.35">
      <c r="A17" s="182"/>
      <c r="B17" s="183"/>
      <c r="C17" s="185"/>
      <c r="F17" s="128"/>
      <c r="I17" s="179" t="s">
        <v>927</v>
      </c>
      <c r="J17" s="175">
        <v>79.562727446533586</v>
      </c>
      <c r="K17" s="312">
        <f t="shared" ref="K17:K22" si="0">(J17/$C$15)*100</f>
        <v>46.691719993932395</v>
      </c>
    </row>
    <row r="18" spans="1:11" x14ac:dyDescent="0.35">
      <c r="A18" s="166" t="s">
        <v>860</v>
      </c>
      <c r="B18" s="183"/>
      <c r="C18" s="169">
        <f>C19+C28+C31</f>
        <v>41.186100026006713</v>
      </c>
      <c r="D18">
        <v>47.582943312708018</v>
      </c>
      <c r="F18" s="128"/>
      <c r="I18" s="180" t="s">
        <v>928</v>
      </c>
      <c r="J18" s="172">
        <v>45.085545553035708</v>
      </c>
      <c r="K18" s="312">
        <f t="shared" si="0"/>
        <v>26.458641329895027</v>
      </c>
    </row>
    <row r="19" spans="1:11" x14ac:dyDescent="0.35">
      <c r="A19" s="170" t="s">
        <v>752</v>
      </c>
      <c r="B19" s="171" t="s">
        <v>1245</v>
      </c>
      <c r="C19" s="172">
        <f>SUM(C20:C27)+B55</f>
        <v>27.24198763379659</v>
      </c>
      <c r="D19">
        <v>27.24198763379659</v>
      </c>
      <c r="F19" s="128"/>
      <c r="I19" s="180" t="s">
        <v>886</v>
      </c>
      <c r="J19" s="172">
        <v>12.199618208468484</v>
      </c>
      <c r="K19" s="312">
        <f t="shared" si="0"/>
        <v>7.159397065736302</v>
      </c>
    </row>
    <row r="20" spans="1:11" x14ac:dyDescent="0.35">
      <c r="A20" s="176" t="s">
        <v>861</v>
      </c>
      <c r="B20" s="177" t="s">
        <v>1245</v>
      </c>
      <c r="C20" s="178">
        <f>E12*Refinery!C5/1000000</f>
        <v>11.448598130841122</v>
      </c>
      <c r="D20">
        <v>11.448598130841122</v>
      </c>
      <c r="F20" s="128"/>
      <c r="I20" s="170" t="s">
        <v>873</v>
      </c>
      <c r="J20" s="172">
        <v>26.520909148844531</v>
      </c>
      <c r="K20" s="312">
        <f t="shared" si="0"/>
        <v>15.563906664644133</v>
      </c>
    </row>
    <row r="21" spans="1:11" x14ac:dyDescent="0.35">
      <c r="A21" s="176" t="s">
        <v>1215</v>
      </c>
      <c r="B21" s="177" t="s">
        <v>1245</v>
      </c>
      <c r="C21" s="343">
        <f>E13*'yields '!C32*Refinery!C4/1000000</f>
        <v>4.2494750399999989E-3</v>
      </c>
      <c r="D21">
        <v>4.2494750399999989E-3</v>
      </c>
      <c r="F21" s="128"/>
      <c r="I21" s="166" t="s">
        <v>888</v>
      </c>
      <c r="J21" s="169">
        <v>10.591174631205801</v>
      </c>
      <c r="K21" s="312">
        <f t="shared" si="0"/>
        <v>6.2154752125537751</v>
      </c>
    </row>
    <row r="22" spans="1:11" x14ac:dyDescent="0.35">
      <c r="A22" s="176" t="s">
        <v>862</v>
      </c>
      <c r="B22" s="177" t="s">
        <v>1245</v>
      </c>
      <c r="C22" s="178">
        <f>'Expenses variable '!C65*'yields '!C23*Refinery!C4/1000000</f>
        <v>0.22529755278437139</v>
      </c>
      <c r="D22">
        <v>0.22529755278437139</v>
      </c>
      <c r="F22" s="128"/>
      <c r="I22" s="166" t="s">
        <v>929</v>
      </c>
      <c r="J22" s="181">
        <v>21.641061865457139</v>
      </c>
      <c r="K22" s="312">
        <f t="shared" si="0"/>
        <v>12.700147838349615</v>
      </c>
    </row>
    <row r="23" spans="1:11" x14ac:dyDescent="0.35">
      <c r="A23" s="176" t="s">
        <v>863</v>
      </c>
      <c r="B23" s="177" t="s">
        <v>1245</v>
      </c>
      <c r="C23" s="178">
        <f>'yields '!C22*Refinery!C4*'Expenses variable '!C64/1000000</f>
        <v>4.3305756559061939</v>
      </c>
      <c r="D23">
        <v>4.3305756559061939</v>
      </c>
      <c r="K23">
        <f>SUM(K16:K22)</f>
        <v>145.91710143439951</v>
      </c>
    </row>
    <row r="24" spans="1:11" x14ac:dyDescent="0.35">
      <c r="A24" s="176" t="s">
        <v>864</v>
      </c>
      <c r="B24" s="177" t="s">
        <v>1245</v>
      </c>
      <c r="C24" s="186">
        <f>'Expenses variable '!C66*Refinery!C4*'yields '!C24/1000000</f>
        <v>1.5489778637646539</v>
      </c>
      <c r="D24">
        <v>1.5489778637646539</v>
      </c>
    </row>
    <row r="25" spans="1:11" ht="15" customHeight="1" x14ac:dyDescent="0.35">
      <c r="A25" s="176" t="s">
        <v>865</v>
      </c>
      <c r="B25" s="177" t="s">
        <v>1245</v>
      </c>
      <c r="C25" s="186">
        <f>('Mass balances '!G139*8000/1000)*'Expenses variable '!C71/1000000</f>
        <v>2.3185593907783875</v>
      </c>
      <c r="D25">
        <v>2.3185593907783875</v>
      </c>
    </row>
    <row r="26" spans="1:11" x14ac:dyDescent="0.35">
      <c r="A26" s="176" t="s">
        <v>866</v>
      </c>
      <c r="B26" s="177" t="s">
        <v>1245</v>
      </c>
      <c r="C26" s="178">
        <f>'Expenses variable '!C68*Refinery!C4*'yields '!C36/1000000</f>
        <v>0</v>
      </c>
      <c r="D26">
        <v>0</v>
      </c>
      <c r="I26" t="s">
        <v>1357</v>
      </c>
      <c r="J26">
        <v>11.448598130841122</v>
      </c>
      <c r="K26" s="312">
        <f>(J26/$J$35)*100</f>
        <v>42.025561000688199</v>
      </c>
    </row>
    <row r="27" spans="1:11" x14ac:dyDescent="0.35">
      <c r="A27" s="176" t="s">
        <v>867</v>
      </c>
      <c r="B27" s="177" t="s">
        <v>1245</v>
      </c>
      <c r="C27" s="178">
        <f>'Expenses variable '!C67*Refinery!C4*'yields '!C15/1000000</f>
        <v>3.7035159530175374E-2</v>
      </c>
      <c r="D27">
        <v>3.7035159530175374E-2</v>
      </c>
      <c r="I27" t="s">
        <v>1110</v>
      </c>
      <c r="J27">
        <v>4.2494750399999989E-3</v>
      </c>
      <c r="K27" s="312">
        <f t="shared" ref="K27:K34" si="1">(J27/$J$35)*100</f>
        <v>1.5598990415545421E-2</v>
      </c>
    </row>
    <row r="28" spans="1:11" x14ac:dyDescent="0.35">
      <c r="A28" s="170" t="s">
        <v>868</v>
      </c>
      <c r="B28" s="171" t="s">
        <v>1245</v>
      </c>
      <c r="C28" s="187">
        <f t="shared" ref="C28" si="2">SUM(C29:C30)</f>
        <v>0.86399999999999988</v>
      </c>
      <c r="D28">
        <v>0.86399999999999988</v>
      </c>
      <c r="I28" t="s">
        <v>1358</v>
      </c>
      <c r="J28">
        <v>0.22529755278437139</v>
      </c>
      <c r="K28" s="312">
        <f t="shared" si="1"/>
        <v>0.82702318132200359</v>
      </c>
    </row>
    <row r="29" spans="1:11" x14ac:dyDescent="0.35">
      <c r="A29" s="176" t="s">
        <v>869</v>
      </c>
      <c r="B29" s="177" t="s">
        <v>1245</v>
      </c>
      <c r="C29" s="186">
        <f>'Expenses variable '!C29*'Expenses variable '!C28*'Expenses variable '!C27*(8000/24)*'Expenses variable '!C70/1000000</f>
        <v>0.57599999999999996</v>
      </c>
      <c r="D29">
        <v>0.57599999999999996</v>
      </c>
      <c r="I29" t="s">
        <v>1359</v>
      </c>
      <c r="J29">
        <v>4.3305756559061939</v>
      </c>
      <c r="K29" s="312">
        <f t="shared" si="1"/>
        <v>15.896694889229202</v>
      </c>
    </row>
    <row r="30" spans="1:11" x14ac:dyDescent="0.35">
      <c r="A30" s="176" t="s">
        <v>870</v>
      </c>
      <c r="B30" s="177" t="s">
        <v>1245</v>
      </c>
      <c r="C30" s="186">
        <f>C29*'Expenses variable '!C30</f>
        <v>0.28799999999999998</v>
      </c>
      <c r="D30">
        <v>0.28799999999999998</v>
      </c>
      <c r="I30" t="s">
        <v>1360</v>
      </c>
      <c r="J30">
        <v>1.5489778637646539</v>
      </c>
      <c r="K30" s="312">
        <f t="shared" si="1"/>
        <v>5.685994298899768</v>
      </c>
    </row>
    <row r="31" spans="1:11" x14ac:dyDescent="0.35">
      <c r="A31" s="170" t="s">
        <v>871</v>
      </c>
      <c r="B31" s="171" t="s">
        <v>1245</v>
      </c>
      <c r="C31" s="172">
        <f>'Expenses variable '!C32*'Expenses variable '!C9*'MFSP play '!C2</f>
        <v>13.080112392210124</v>
      </c>
      <c r="D31">
        <v>19.476955678911427</v>
      </c>
      <c r="I31" t="s">
        <v>1361</v>
      </c>
      <c r="J31">
        <v>2.3185593907783875</v>
      </c>
      <c r="K31" s="312">
        <f t="shared" si="1"/>
        <v>8.5109773264193382</v>
      </c>
    </row>
    <row r="32" spans="1:11" x14ac:dyDescent="0.35">
      <c r="A32" s="166" t="s">
        <v>872</v>
      </c>
      <c r="B32" s="188" t="s">
        <v>1245</v>
      </c>
      <c r="C32" s="169">
        <f>'Expenses variable '!C33*C28</f>
        <v>0.60479999999999989</v>
      </c>
      <c r="D32">
        <v>0.60479999999999989</v>
      </c>
      <c r="I32" t="s">
        <v>1231</v>
      </c>
      <c r="J32">
        <v>0</v>
      </c>
      <c r="K32" s="312">
        <f t="shared" si="1"/>
        <v>0</v>
      </c>
    </row>
    <row r="33" spans="1:11" x14ac:dyDescent="0.35">
      <c r="A33" s="166" t="s">
        <v>873</v>
      </c>
      <c r="B33" s="188" t="s">
        <v>1245</v>
      </c>
      <c r="C33" s="169">
        <f>'Expenses variable '!C39*C18</f>
        <v>8.2372200052013422</v>
      </c>
      <c r="D33">
        <v>9.5165886625416043</v>
      </c>
      <c r="I33" t="s">
        <v>510</v>
      </c>
      <c r="J33">
        <v>3.7035159530175374E-2</v>
      </c>
      <c r="K33" s="312">
        <f t="shared" si="1"/>
        <v>0.13594881558579561</v>
      </c>
    </row>
    <row r="34" spans="1:11" x14ac:dyDescent="0.35">
      <c r="A34" s="166" t="s">
        <v>874</v>
      </c>
      <c r="B34" s="188" t="s">
        <v>1245</v>
      </c>
      <c r="C34" s="169">
        <f t="shared" ref="C34" si="3">SUM(C35:C37)</f>
        <v>24.448399440373439</v>
      </c>
      <c r="D34">
        <v>35.764754647142318</v>
      </c>
      <c r="I34" t="s">
        <v>1362</v>
      </c>
      <c r="J34">
        <v>7.3286944051516878</v>
      </c>
      <c r="K34" s="312">
        <f t="shared" si="1"/>
        <v>26.902201497440153</v>
      </c>
    </row>
    <row r="35" spans="1:11" x14ac:dyDescent="0.35">
      <c r="A35" s="170" t="s">
        <v>875</v>
      </c>
      <c r="B35" s="171" t="s">
        <v>1245</v>
      </c>
      <c r="C35" s="172">
        <f>C2*'Expenses variable '!C35*'Expenses variable '!C9</f>
        <v>1.9620168588315181</v>
      </c>
      <c r="D35">
        <v>2.9215433518367138</v>
      </c>
      <c r="J35">
        <f>SUM(J26:J34)</f>
        <v>27.24198763379659</v>
      </c>
    </row>
    <row r="36" spans="1:11" x14ac:dyDescent="0.35">
      <c r="A36" s="170" t="s">
        <v>876</v>
      </c>
      <c r="B36" s="171" t="s">
        <v>1245</v>
      </c>
      <c r="C36" s="172">
        <f>'Expenses variable '!C37*C2*'Expenses variable '!C9</f>
        <v>1.3080112392210124</v>
      </c>
      <c r="D36">
        <v>1.9476955678911425</v>
      </c>
    </row>
    <row r="37" spans="1:11" x14ac:dyDescent="0.35">
      <c r="A37" s="170" t="s">
        <v>877</v>
      </c>
      <c r="B37" s="171" t="s">
        <v>1245</v>
      </c>
      <c r="C37" s="172">
        <f>'Expenses variable '!C34*C16</f>
        <v>21.178371342320908</v>
      </c>
      <c r="D37">
        <v>30.895515727414463</v>
      </c>
    </row>
    <row r="38" spans="1:11" x14ac:dyDescent="0.35">
      <c r="A38" s="166" t="s">
        <v>878</v>
      </c>
      <c r="B38" s="188" t="s">
        <v>1245</v>
      </c>
      <c r="C38" s="169">
        <f>C41*'Expenses variable '!C38</f>
        <v>5.2660189938612625</v>
      </c>
      <c r="D38">
        <v>5.2660189938612625</v>
      </c>
    </row>
    <row r="39" spans="1:11" x14ac:dyDescent="0.35">
      <c r="A39" s="182" t="s">
        <v>879</v>
      </c>
      <c r="B39" s="189" t="s">
        <v>1246</v>
      </c>
      <c r="C39" s="184">
        <f>SUM(C38+C34+C32+C18+C33)</f>
        <v>79.742538465442749</v>
      </c>
      <c r="D39">
        <v>98.735105616253207</v>
      </c>
    </row>
    <row r="40" spans="1:11" x14ac:dyDescent="0.35">
      <c r="A40" s="182"/>
      <c r="B40" s="183"/>
      <c r="C40" s="168"/>
    </row>
    <row r="41" spans="1:11" x14ac:dyDescent="0.35">
      <c r="A41" s="188" t="s">
        <v>932</v>
      </c>
      <c r="B41" s="188" t="s">
        <v>1245</v>
      </c>
      <c r="C41" s="169">
        <f t="shared" ref="C41" si="4">SUM(C42:C44)</f>
        <v>52.660189938612625</v>
      </c>
      <c r="D41">
        <v>52.660189938612625</v>
      </c>
    </row>
    <row r="42" spans="1:11" x14ac:dyDescent="0.35">
      <c r="A42" s="190" t="s">
        <v>933</v>
      </c>
      <c r="B42" s="177" t="s">
        <v>1245</v>
      </c>
      <c r="C42" s="178">
        <f>(8000/24)*'yields '!C8*Refinery!B1*'Expenses variable '!C50/1000000</f>
        <v>52.579911492019356</v>
      </c>
      <c r="D42">
        <v>52.579911492019356</v>
      </c>
    </row>
    <row r="43" spans="1:11" x14ac:dyDescent="0.35">
      <c r="A43" s="212" t="s">
        <v>974</v>
      </c>
      <c r="B43" s="213" t="s">
        <v>1247</v>
      </c>
      <c r="C43" s="178">
        <v>0</v>
      </c>
      <c r="D43">
        <v>0</v>
      </c>
    </row>
    <row r="44" spans="1:11" x14ac:dyDescent="0.35">
      <c r="A44" s="190" t="s">
        <v>934</v>
      </c>
      <c r="B44" s="177" t="s">
        <v>1245</v>
      </c>
      <c r="C44" s="178">
        <f>'yields '!C19*Refinery!B1*'Expenses variable '!C52/1000000</f>
        <v>8.0278446593266634E-2</v>
      </c>
      <c r="D44">
        <v>8.0278446593266634E-2</v>
      </c>
    </row>
    <row r="45" spans="1:11" x14ac:dyDescent="0.35">
      <c r="A45" s="188" t="s">
        <v>935</v>
      </c>
      <c r="B45" s="188" t="s">
        <v>1245</v>
      </c>
      <c r="C45" s="169">
        <f>C41-C19</f>
        <v>25.418202304816035</v>
      </c>
      <c r="D45">
        <v>25.418202304816035</v>
      </c>
    </row>
    <row r="46" spans="1:11" x14ac:dyDescent="0.35">
      <c r="A46" s="188" t="s">
        <v>936</v>
      </c>
      <c r="B46" s="188" t="s">
        <v>1245</v>
      </c>
      <c r="C46" s="169">
        <f t="shared" ref="C46" si="5">C41-C39</f>
        <v>-27.082348526830124</v>
      </c>
      <c r="D46">
        <v>-46.074915677640583</v>
      </c>
    </row>
    <row r="47" spans="1:11" x14ac:dyDescent="0.35">
      <c r="A47" s="191" t="s">
        <v>937</v>
      </c>
      <c r="B47" s="191" t="s">
        <v>1251</v>
      </c>
      <c r="C47" s="169">
        <f>(C39-C44)*1000000/((8000/24)*'yields '!C8*Refinery!B1)</f>
        <v>1348.4125287570564</v>
      </c>
      <c r="D47">
        <v>1669.8924301978745</v>
      </c>
    </row>
    <row r="48" spans="1:11" x14ac:dyDescent="0.35">
      <c r="A48" s="188" t="s">
        <v>1250</v>
      </c>
      <c r="C48">
        <f>C47/'Expenses variable '!C50</f>
        <v>1.5150702570304004</v>
      </c>
      <c r="D48">
        <v>1.8762836294358141</v>
      </c>
    </row>
    <row r="52" spans="1:5" x14ac:dyDescent="0.35">
      <c r="A52" t="s">
        <v>1348</v>
      </c>
      <c r="B52">
        <f>'Mass balances '!C188</f>
        <v>59.078552238223999</v>
      </c>
      <c r="D52" t="s">
        <v>1350</v>
      </c>
      <c r="E52">
        <f>B52*(Refinery!B9+Refinery!B10)*1000</f>
        <v>24517599.178862959</v>
      </c>
    </row>
    <row r="53" spans="1:5" x14ac:dyDescent="0.35">
      <c r="A53" t="s">
        <v>1349</v>
      </c>
      <c r="B53">
        <f>B52*'Expenses variable '!C59*1000/1000000</f>
        <v>0.70894262685868792</v>
      </c>
    </row>
    <row r="54" spans="1:5" x14ac:dyDescent="0.35">
      <c r="A54" t="s">
        <v>1351</v>
      </c>
      <c r="B54">
        <f>'Expenses variable '!C60*E52/1000000</f>
        <v>6.6197517782929998</v>
      </c>
    </row>
    <row r="55" spans="1:5" x14ac:dyDescent="0.35">
      <c r="A55" t="s">
        <v>1352</v>
      </c>
      <c r="B55">
        <f>B53+B54</f>
        <v>7.3286944051516878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B7720-BFAF-4639-924D-FDBBC1545AD2}">
  <dimension ref="C13:M35"/>
  <sheetViews>
    <sheetView tabSelected="1" topLeftCell="J1" zoomScale="70" zoomScaleNormal="70" workbookViewId="0">
      <selection activeCell="M7" sqref="M7"/>
    </sheetView>
  </sheetViews>
  <sheetFormatPr defaultRowHeight="14.5" x14ac:dyDescent="0.35"/>
  <cols>
    <col min="3" max="3" width="27.453125" customWidth="1"/>
  </cols>
  <sheetData>
    <row r="13" spans="3:13" x14ac:dyDescent="0.35">
      <c r="D13" s="354" t="s">
        <v>37</v>
      </c>
      <c r="E13" s="354"/>
      <c r="F13" s="354" t="s">
        <v>1384</v>
      </c>
      <c r="G13" s="354"/>
      <c r="H13" s="354" t="s">
        <v>1385</v>
      </c>
      <c r="I13" s="354"/>
      <c r="J13" s="354" t="s">
        <v>1386</v>
      </c>
      <c r="K13" s="354"/>
      <c r="L13" s="354" t="s">
        <v>1387</v>
      </c>
      <c r="M13" s="354"/>
    </row>
    <row r="14" spans="3:13" x14ac:dyDescent="0.35">
      <c r="D14" t="s">
        <v>1378</v>
      </c>
      <c r="E14" t="s">
        <v>1388</v>
      </c>
      <c r="F14" t="s">
        <v>1378</v>
      </c>
      <c r="G14" t="s">
        <v>1388</v>
      </c>
      <c r="H14" t="s">
        <v>1378</v>
      </c>
      <c r="I14" t="s">
        <v>1388</v>
      </c>
      <c r="J14" t="s">
        <v>1378</v>
      </c>
      <c r="K14" t="s">
        <v>1388</v>
      </c>
      <c r="L14" t="s">
        <v>1378</v>
      </c>
      <c r="M14" t="s">
        <v>1388</v>
      </c>
    </row>
    <row r="15" spans="3:13" x14ac:dyDescent="0.35">
      <c r="C15" t="s">
        <v>1389</v>
      </c>
      <c r="D15">
        <v>111.1</v>
      </c>
      <c r="F15">
        <v>132.6</v>
      </c>
      <c r="H15">
        <v>111.1</v>
      </c>
      <c r="J15">
        <v>132.6</v>
      </c>
      <c r="L15">
        <v>111.1</v>
      </c>
    </row>
    <row r="16" spans="3:13" x14ac:dyDescent="0.35">
      <c r="C16" t="s">
        <v>1390</v>
      </c>
      <c r="D16">
        <v>37.799999999999997</v>
      </c>
      <c r="F16">
        <v>45.1</v>
      </c>
      <c r="H16">
        <v>37.799999999999997</v>
      </c>
      <c r="J16">
        <v>45.1</v>
      </c>
      <c r="L16">
        <v>37.799999999999997</v>
      </c>
    </row>
    <row r="17" spans="3:13" x14ac:dyDescent="0.35">
      <c r="C17" t="s">
        <v>1391</v>
      </c>
      <c r="D17">
        <v>10.199999999999999</v>
      </c>
      <c r="F17">
        <v>12.2</v>
      </c>
      <c r="H17">
        <v>10.199999999999999</v>
      </c>
      <c r="J17">
        <v>12.2</v>
      </c>
      <c r="L17">
        <v>10.199999999999999</v>
      </c>
    </row>
    <row r="18" spans="3:13" x14ac:dyDescent="0.35">
      <c r="C18" t="s">
        <v>873</v>
      </c>
      <c r="D18">
        <v>22.2</v>
      </c>
      <c r="F18">
        <v>26.5</v>
      </c>
      <c r="H18">
        <v>22.2</v>
      </c>
      <c r="J18">
        <v>26.5</v>
      </c>
      <c r="L18">
        <v>22.2</v>
      </c>
    </row>
    <row r="19" spans="3:13" x14ac:dyDescent="0.35">
      <c r="C19" t="s">
        <v>1393</v>
      </c>
      <c r="D19">
        <v>8.1</v>
      </c>
      <c r="F19">
        <v>10.5</v>
      </c>
      <c r="H19">
        <v>10.5</v>
      </c>
      <c r="J19">
        <v>9.1</v>
      </c>
      <c r="L19">
        <v>9.1</v>
      </c>
    </row>
    <row r="20" spans="3:13" x14ac:dyDescent="0.35">
      <c r="C20" t="s">
        <v>1394</v>
      </c>
      <c r="D20">
        <v>18.14</v>
      </c>
      <c r="F20">
        <v>21.64</v>
      </c>
      <c r="H20">
        <v>18.14</v>
      </c>
      <c r="J20">
        <v>21.64</v>
      </c>
      <c r="L20">
        <v>18.14</v>
      </c>
    </row>
    <row r="21" spans="3:13" x14ac:dyDescent="0.35">
      <c r="C21" t="s">
        <v>1379</v>
      </c>
      <c r="E21">
        <v>42.4</v>
      </c>
      <c r="G21">
        <v>47.6</v>
      </c>
      <c r="I21">
        <v>44.5</v>
      </c>
      <c r="K21">
        <v>47.3</v>
      </c>
      <c r="M21">
        <v>44.5</v>
      </c>
    </row>
    <row r="22" spans="3:13" x14ac:dyDescent="0.35">
      <c r="C22" t="s">
        <v>1380</v>
      </c>
      <c r="E22">
        <v>0.6</v>
      </c>
      <c r="G22">
        <v>0.6</v>
      </c>
      <c r="I22">
        <v>0.6</v>
      </c>
      <c r="K22">
        <v>0.6</v>
      </c>
      <c r="M22">
        <v>0.6</v>
      </c>
    </row>
    <row r="23" spans="3:13" x14ac:dyDescent="0.35">
      <c r="C23" t="s">
        <v>1381</v>
      </c>
      <c r="E23">
        <v>8.5</v>
      </c>
      <c r="G23">
        <v>9.5</v>
      </c>
      <c r="I23">
        <v>8.9</v>
      </c>
      <c r="K23">
        <v>9.5</v>
      </c>
      <c r="M23">
        <v>8.9</v>
      </c>
    </row>
    <row r="24" spans="3:13" x14ac:dyDescent="0.35">
      <c r="C24" t="s">
        <v>1382</v>
      </c>
      <c r="E24">
        <v>29.9</v>
      </c>
      <c r="G24">
        <v>35.799999999999997</v>
      </c>
      <c r="I24">
        <v>30.2</v>
      </c>
      <c r="K24">
        <v>35.6</v>
      </c>
      <c r="M24">
        <v>30</v>
      </c>
    </row>
    <row r="25" spans="3:13" x14ac:dyDescent="0.35">
      <c r="C25" t="s">
        <v>1383</v>
      </c>
      <c r="E25">
        <v>4.0999999999999996</v>
      </c>
      <c r="G25">
        <v>5.3</v>
      </c>
      <c r="I25">
        <v>5.3</v>
      </c>
      <c r="K25">
        <v>4.5</v>
      </c>
      <c r="M25">
        <v>4.5</v>
      </c>
    </row>
    <row r="35" spans="3:12" x14ac:dyDescent="0.35">
      <c r="C35" t="s">
        <v>1392</v>
      </c>
      <c r="D35">
        <v>181.4</v>
      </c>
      <c r="F35">
        <v>216.4</v>
      </c>
      <c r="H35">
        <v>181.4</v>
      </c>
      <c r="J35">
        <v>216.4</v>
      </c>
      <c r="L35">
        <v>181.4</v>
      </c>
    </row>
  </sheetData>
  <mergeCells count="5">
    <mergeCell ref="D13:E13"/>
    <mergeCell ref="F13:G13"/>
    <mergeCell ref="H13:I13"/>
    <mergeCell ref="J13:K13"/>
    <mergeCell ref="L13:M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36"/>
  <sheetViews>
    <sheetView topLeftCell="A34" workbookViewId="0">
      <selection activeCell="A4" sqref="A4"/>
    </sheetView>
  </sheetViews>
  <sheetFormatPr defaultRowHeight="14.5" x14ac:dyDescent="0.35"/>
  <cols>
    <col min="1" max="1" width="41.54296875" customWidth="1"/>
  </cols>
  <sheetData>
    <row r="2" spans="1:16" x14ac:dyDescent="0.35">
      <c r="A2" t="s">
        <v>212</v>
      </c>
    </row>
    <row r="4" spans="1:16" ht="111.5" x14ac:dyDescent="0.35">
      <c r="A4" s="18" t="s">
        <v>213</v>
      </c>
      <c r="B4" s="19" t="s">
        <v>214</v>
      </c>
      <c r="C4" s="19" t="s">
        <v>215</v>
      </c>
      <c r="D4" s="19" t="s">
        <v>216</v>
      </c>
      <c r="E4" s="19" t="s">
        <v>217</v>
      </c>
      <c r="F4" s="18" t="s">
        <v>218</v>
      </c>
      <c r="G4" s="18" t="s">
        <v>219</v>
      </c>
      <c r="H4" s="18" t="s">
        <v>220</v>
      </c>
      <c r="I4" s="18" t="s">
        <v>221</v>
      </c>
      <c r="J4" s="18" t="s">
        <v>222</v>
      </c>
      <c r="K4" s="18" t="s">
        <v>223</v>
      </c>
      <c r="L4" s="19" t="s">
        <v>224</v>
      </c>
      <c r="M4" s="18" t="s">
        <v>225</v>
      </c>
      <c r="N4" s="19" t="s">
        <v>226</v>
      </c>
      <c r="O4" s="18" t="s">
        <v>227</v>
      </c>
      <c r="P4" s="20" t="s">
        <v>228</v>
      </c>
    </row>
    <row r="5" spans="1:16" x14ac:dyDescent="0.35">
      <c r="A5" s="18" t="s">
        <v>229</v>
      </c>
      <c r="B5" s="19" t="s">
        <v>230</v>
      </c>
      <c r="C5" s="19" t="s">
        <v>230</v>
      </c>
      <c r="D5" s="19"/>
      <c r="E5" s="19"/>
      <c r="F5" s="18" t="s">
        <v>230</v>
      </c>
      <c r="G5" s="18" t="s">
        <v>230</v>
      </c>
      <c r="H5" s="18" t="s">
        <v>230</v>
      </c>
      <c r="I5" s="18" t="s">
        <v>230</v>
      </c>
      <c r="J5" s="18" t="s">
        <v>230</v>
      </c>
      <c r="K5" s="18" t="s">
        <v>230</v>
      </c>
      <c r="L5" s="19" t="s">
        <v>230</v>
      </c>
      <c r="M5" s="18" t="s">
        <v>230</v>
      </c>
      <c r="N5" s="19" t="s">
        <v>230</v>
      </c>
      <c r="O5" s="18" t="s">
        <v>230</v>
      </c>
      <c r="P5" s="20" t="s">
        <v>230</v>
      </c>
    </row>
    <row r="6" spans="1:16" ht="22" x14ac:dyDescent="0.35">
      <c r="A6" s="18" t="s">
        <v>231</v>
      </c>
      <c r="B6" s="19" t="s">
        <v>232</v>
      </c>
      <c r="C6" s="19" t="s">
        <v>232</v>
      </c>
      <c r="D6" s="19"/>
      <c r="E6" s="19" t="s">
        <v>233</v>
      </c>
      <c r="F6" s="18" t="s">
        <v>232</v>
      </c>
      <c r="G6" s="18" t="s">
        <v>232</v>
      </c>
      <c r="H6" s="18" t="s">
        <v>232</v>
      </c>
      <c r="I6" s="18" t="s">
        <v>232</v>
      </c>
      <c r="J6" s="18" t="s">
        <v>232</v>
      </c>
      <c r="K6" s="18" t="s">
        <v>232</v>
      </c>
      <c r="L6" s="19" t="s">
        <v>232</v>
      </c>
      <c r="M6" s="18" t="s">
        <v>232</v>
      </c>
      <c r="N6" s="19" t="s">
        <v>232</v>
      </c>
      <c r="O6" s="18" t="s">
        <v>232</v>
      </c>
      <c r="P6" s="20" t="s">
        <v>232</v>
      </c>
    </row>
    <row r="7" spans="1:16" x14ac:dyDescent="0.35">
      <c r="A7" s="21"/>
      <c r="B7" s="22"/>
      <c r="C7" s="22"/>
      <c r="D7" s="22"/>
      <c r="E7" s="22"/>
      <c r="F7" s="21"/>
      <c r="G7" s="21"/>
      <c r="H7" s="21"/>
      <c r="I7" s="21"/>
      <c r="J7" s="21"/>
      <c r="K7" s="21"/>
      <c r="L7" s="22"/>
      <c r="M7" s="23"/>
      <c r="N7" s="22"/>
      <c r="O7" s="21"/>
      <c r="P7" s="24" t="s">
        <v>232</v>
      </c>
    </row>
    <row r="8" spans="1:16" x14ac:dyDescent="0.35">
      <c r="A8" s="25"/>
      <c r="B8" s="26" t="s">
        <v>234</v>
      </c>
      <c r="C8" s="26" t="s">
        <v>234</v>
      </c>
      <c r="D8" s="26">
        <v>2019</v>
      </c>
      <c r="E8" s="26">
        <v>2019</v>
      </c>
      <c r="F8" s="27" t="s">
        <v>234</v>
      </c>
      <c r="G8" s="27" t="s">
        <v>234</v>
      </c>
      <c r="H8" s="27" t="s">
        <v>234</v>
      </c>
      <c r="I8" s="27" t="s">
        <v>234</v>
      </c>
      <c r="J8" s="27" t="s">
        <v>234</v>
      </c>
      <c r="K8" s="27" t="s">
        <v>234</v>
      </c>
      <c r="L8" s="26"/>
      <c r="M8" s="28" t="s">
        <v>234</v>
      </c>
      <c r="N8" s="26" t="s">
        <v>234</v>
      </c>
      <c r="O8" s="27" t="s">
        <v>234</v>
      </c>
      <c r="P8" s="27" t="s">
        <v>234</v>
      </c>
    </row>
    <row r="9" spans="1:16" x14ac:dyDescent="0.35">
      <c r="A9" s="25" t="s">
        <v>235</v>
      </c>
      <c r="B9" s="29">
        <v>34867.385000000002</v>
      </c>
      <c r="C9" s="29">
        <v>10808.924000000001</v>
      </c>
      <c r="D9" s="29">
        <f>+B9+C9</f>
        <v>45676.309000000001</v>
      </c>
      <c r="E9" s="30">
        <f>+B9*100/D9</f>
        <v>76.335819954278705</v>
      </c>
      <c r="F9" s="31">
        <v>4085.415</v>
      </c>
      <c r="G9" s="31">
        <v>260.75900000000001</v>
      </c>
      <c r="H9" s="31">
        <v>93.649000000000001</v>
      </c>
      <c r="I9" s="31">
        <v>48.914999999999999</v>
      </c>
      <c r="J9" s="31">
        <v>601.89800000000002</v>
      </c>
      <c r="K9" s="31">
        <v>31.823</v>
      </c>
      <c r="L9" s="29">
        <f>SUM(F9:K9)</f>
        <v>5122.4590000000007</v>
      </c>
      <c r="M9" s="32">
        <v>5126.9840000000004</v>
      </c>
      <c r="N9" s="29">
        <v>4266.4979999999996</v>
      </c>
      <c r="O9" s="31">
        <v>2589.4630000000002</v>
      </c>
      <c r="P9" s="33">
        <v>1494.3140000000001</v>
      </c>
    </row>
    <row r="10" spans="1:16" x14ac:dyDescent="0.35">
      <c r="A10" s="25" t="s">
        <v>236</v>
      </c>
      <c r="B10" s="29">
        <v>7335.6</v>
      </c>
      <c r="C10" s="29">
        <v>71.900000000000006</v>
      </c>
      <c r="D10" s="29">
        <f t="shared" ref="D10:D36" si="0">+B10+C10</f>
        <v>7407.5</v>
      </c>
      <c r="E10" s="30">
        <f t="shared" ref="E10:E36" si="1">+B10*100/D10</f>
        <v>99.029362132973333</v>
      </c>
      <c r="F10" s="31">
        <v>0</v>
      </c>
      <c r="G10" s="31">
        <v>0</v>
      </c>
      <c r="H10" s="31">
        <v>0</v>
      </c>
      <c r="I10" s="31">
        <v>0</v>
      </c>
      <c r="J10" s="31">
        <v>0.1</v>
      </c>
      <c r="K10" s="31">
        <v>0</v>
      </c>
      <c r="L10" s="29">
        <f t="shared" ref="L10:L36" si="2">SUM(F10:K10)</f>
        <v>0.1</v>
      </c>
      <c r="M10" s="32">
        <v>71.7</v>
      </c>
      <c r="N10" s="29">
        <v>53.5</v>
      </c>
      <c r="O10" s="31">
        <v>52.5</v>
      </c>
      <c r="P10" s="33">
        <v>0.7</v>
      </c>
    </row>
    <row r="11" spans="1:16" x14ac:dyDescent="0.35">
      <c r="A11" s="25" t="s">
        <v>237</v>
      </c>
      <c r="B11" s="29">
        <v>16.806999999999999</v>
      </c>
      <c r="C11" s="29">
        <v>34.85</v>
      </c>
      <c r="D11" s="29">
        <f t="shared" si="0"/>
        <v>51.656999999999996</v>
      </c>
      <c r="E11" s="30">
        <f t="shared" si="1"/>
        <v>32.535764755986605</v>
      </c>
      <c r="F11" s="31">
        <v>7.3</v>
      </c>
      <c r="G11" s="31">
        <v>4.0970000000000004</v>
      </c>
      <c r="H11" s="31">
        <v>0</v>
      </c>
      <c r="I11" s="31">
        <v>0</v>
      </c>
      <c r="J11" s="31">
        <v>0</v>
      </c>
      <c r="K11" s="31">
        <v>0</v>
      </c>
      <c r="L11" s="29">
        <f t="shared" si="2"/>
        <v>11.397</v>
      </c>
      <c r="M11" s="32">
        <v>20.68</v>
      </c>
      <c r="N11" s="29">
        <v>20.68</v>
      </c>
      <c r="O11" s="31">
        <v>19.510000000000002</v>
      </c>
      <c r="P11" s="33">
        <v>0</v>
      </c>
    </row>
    <row r="12" spans="1:16" x14ac:dyDescent="0.35">
      <c r="A12" s="25" t="s">
        <v>238</v>
      </c>
      <c r="B12" s="29">
        <v>0</v>
      </c>
      <c r="C12" s="29">
        <v>22</v>
      </c>
      <c r="D12" s="29">
        <f t="shared" si="0"/>
        <v>22</v>
      </c>
      <c r="E12" s="30">
        <f t="shared" si="1"/>
        <v>0</v>
      </c>
      <c r="F12" s="31">
        <v>6</v>
      </c>
      <c r="G12" s="31">
        <v>3</v>
      </c>
      <c r="H12" s="31">
        <v>1</v>
      </c>
      <c r="I12" s="31">
        <v>0</v>
      </c>
      <c r="J12" s="31">
        <v>0</v>
      </c>
      <c r="K12" s="31">
        <v>1</v>
      </c>
      <c r="L12" s="29">
        <f t="shared" si="2"/>
        <v>11</v>
      </c>
      <c r="M12" s="32">
        <v>11</v>
      </c>
      <c r="N12" s="29">
        <v>11</v>
      </c>
      <c r="O12" s="31">
        <v>9</v>
      </c>
      <c r="P12" s="33">
        <v>0</v>
      </c>
    </row>
    <row r="13" spans="1:16" x14ac:dyDescent="0.35">
      <c r="A13" s="25" t="s">
        <v>239</v>
      </c>
      <c r="B13" s="29">
        <v>376.67200000000003</v>
      </c>
      <c r="C13" s="29">
        <v>64.87</v>
      </c>
      <c r="D13" s="29">
        <f t="shared" si="0"/>
        <v>441.54200000000003</v>
      </c>
      <c r="E13" s="30">
        <f t="shared" si="1"/>
        <v>85.308305891625267</v>
      </c>
      <c r="F13" s="31">
        <v>1.411</v>
      </c>
      <c r="G13" s="31">
        <v>12.516</v>
      </c>
      <c r="H13" s="31">
        <v>3.573</v>
      </c>
      <c r="I13" s="31">
        <v>0</v>
      </c>
      <c r="J13" s="31">
        <v>6.9690000000000003</v>
      </c>
      <c r="K13" s="31">
        <v>5.7000000000000002E-2</v>
      </c>
      <c r="L13" s="29">
        <f t="shared" si="2"/>
        <v>24.526</v>
      </c>
      <c r="M13" s="32">
        <v>40.344000000000001</v>
      </c>
      <c r="N13" s="29">
        <v>40.344000000000001</v>
      </c>
      <c r="O13" s="31">
        <v>32.951999999999998</v>
      </c>
      <c r="P13" s="33">
        <v>5.024</v>
      </c>
    </row>
    <row r="14" spans="1:16" x14ac:dyDescent="0.35">
      <c r="A14" s="25" t="s">
        <v>240</v>
      </c>
      <c r="B14" s="29">
        <v>668</v>
      </c>
      <c r="C14" s="29">
        <v>1965</v>
      </c>
      <c r="D14" s="29">
        <f t="shared" si="0"/>
        <v>2633</v>
      </c>
      <c r="E14" s="30">
        <f t="shared" si="1"/>
        <v>25.37030003797949</v>
      </c>
      <c r="F14" s="31">
        <v>46</v>
      </c>
      <c r="G14" s="31">
        <v>11</v>
      </c>
      <c r="H14" s="31">
        <v>5</v>
      </c>
      <c r="I14" s="31">
        <v>34</v>
      </c>
      <c r="J14" s="31">
        <v>23</v>
      </c>
      <c r="K14" s="31">
        <v>0</v>
      </c>
      <c r="L14" s="29">
        <f t="shared" si="2"/>
        <v>119</v>
      </c>
      <c r="M14" s="32">
        <v>1306</v>
      </c>
      <c r="N14" s="29">
        <v>643</v>
      </c>
      <c r="O14" s="31">
        <v>643</v>
      </c>
      <c r="P14" s="33">
        <v>0</v>
      </c>
    </row>
    <row r="15" spans="1:16" x14ac:dyDescent="0.35">
      <c r="A15" s="25" t="s">
        <v>241</v>
      </c>
      <c r="B15" s="29">
        <v>106</v>
      </c>
      <c r="C15" s="29">
        <v>36.5</v>
      </c>
      <c r="D15" s="29">
        <f t="shared" si="0"/>
        <v>142.5</v>
      </c>
      <c r="E15" s="30">
        <f t="shared" si="1"/>
        <v>74.385964912280699</v>
      </c>
      <c r="F15" s="31">
        <v>7</v>
      </c>
      <c r="G15" s="31">
        <v>0.9</v>
      </c>
      <c r="H15" s="31">
        <v>6</v>
      </c>
      <c r="I15" s="31">
        <v>0</v>
      </c>
      <c r="J15" s="31">
        <v>0</v>
      </c>
      <c r="K15" s="31">
        <v>0</v>
      </c>
      <c r="L15" s="29">
        <f t="shared" si="2"/>
        <v>13.9</v>
      </c>
      <c r="M15" s="32">
        <v>22</v>
      </c>
      <c r="N15" s="29">
        <v>22</v>
      </c>
      <c r="O15" s="31">
        <v>16</v>
      </c>
      <c r="P15" s="33">
        <v>0</v>
      </c>
    </row>
    <row r="16" spans="1:16" x14ac:dyDescent="0.35">
      <c r="A16" s="25" t="s">
        <v>242</v>
      </c>
      <c r="B16" s="29">
        <v>10.398</v>
      </c>
      <c r="C16" s="29">
        <v>97.608000000000004</v>
      </c>
      <c r="D16" s="29">
        <f t="shared" si="0"/>
        <v>108.006</v>
      </c>
      <c r="E16" s="30">
        <f t="shared" si="1"/>
        <v>9.627242930948281</v>
      </c>
      <c r="F16" s="31">
        <v>67.456999999999994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29">
        <f t="shared" si="2"/>
        <v>67.456999999999994</v>
      </c>
      <c r="M16" s="32">
        <v>30.151</v>
      </c>
      <c r="N16" s="29">
        <v>30.151</v>
      </c>
      <c r="O16" s="31">
        <v>29.937999999999999</v>
      </c>
      <c r="P16" s="33">
        <v>0</v>
      </c>
    </row>
    <row r="17" spans="1:16" x14ac:dyDescent="0.35">
      <c r="A17" s="25" t="s">
        <v>243</v>
      </c>
      <c r="B17" s="29">
        <v>2220.0909999999999</v>
      </c>
      <c r="C17" s="29">
        <v>1438.4659999999999</v>
      </c>
      <c r="D17" s="29">
        <f t="shared" si="0"/>
        <v>3658.5569999999998</v>
      </c>
      <c r="E17" s="30">
        <f t="shared" si="1"/>
        <v>60.682148726943431</v>
      </c>
      <c r="F17" s="31">
        <v>860.53499999999997</v>
      </c>
      <c r="G17" s="31">
        <v>0</v>
      </c>
      <c r="H17" s="31">
        <v>0</v>
      </c>
      <c r="I17" s="31">
        <v>0</v>
      </c>
      <c r="J17" s="31">
        <v>38.564</v>
      </c>
      <c r="K17" s="31">
        <v>0</v>
      </c>
      <c r="L17" s="29">
        <f t="shared" si="2"/>
        <v>899.09899999999993</v>
      </c>
      <c r="M17" s="32">
        <v>539.25300000000004</v>
      </c>
      <c r="N17" s="29">
        <v>539.25300000000004</v>
      </c>
      <c r="O17" s="31">
        <v>173.714</v>
      </c>
      <c r="P17" s="33">
        <v>359.00299999999999</v>
      </c>
    </row>
    <row r="18" spans="1:16" x14ac:dyDescent="0.35">
      <c r="A18" s="25" t="s">
        <v>244</v>
      </c>
      <c r="B18" s="29">
        <v>5713</v>
      </c>
      <c r="C18" s="29">
        <v>2522</v>
      </c>
      <c r="D18" s="29">
        <f t="shared" si="0"/>
        <v>8235</v>
      </c>
      <c r="E18" s="30">
        <f t="shared" si="1"/>
        <v>69.374620522161507</v>
      </c>
      <c r="F18" s="31">
        <v>1175</v>
      </c>
      <c r="G18" s="31">
        <v>0</v>
      </c>
      <c r="H18" s="31">
        <v>0</v>
      </c>
      <c r="I18" s="31">
        <v>0</v>
      </c>
      <c r="J18" s="31">
        <v>413</v>
      </c>
      <c r="K18" s="31">
        <v>0</v>
      </c>
      <c r="L18" s="29">
        <f t="shared" si="2"/>
        <v>1588</v>
      </c>
      <c r="M18" s="32">
        <v>934</v>
      </c>
      <c r="N18" s="29">
        <v>934</v>
      </c>
      <c r="O18" s="31">
        <v>322</v>
      </c>
      <c r="P18" s="33">
        <v>585</v>
      </c>
    </row>
    <row r="19" spans="1:16" x14ac:dyDescent="0.35">
      <c r="A19" s="25" t="s">
        <v>245</v>
      </c>
      <c r="B19" s="29">
        <v>1617.4059999999999</v>
      </c>
      <c r="C19" s="29">
        <v>958.52200000000005</v>
      </c>
      <c r="D19" s="29">
        <f t="shared" si="0"/>
        <v>2575.9279999999999</v>
      </c>
      <c r="E19" s="30">
        <f t="shared" si="1"/>
        <v>62.789254979176441</v>
      </c>
      <c r="F19" s="31">
        <v>717.59299999999996</v>
      </c>
      <c r="G19" s="31">
        <v>1.819</v>
      </c>
      <c r="H19" s="31">
        <v>4.22</v>
      </c>
      <c r="I19" s="31">
        <v>10.583</v>
      </c>
      <c r="J19" s="31">
        <v>3.2040000000000002</v>
      </c>
      <c r="K19" s="31">
        <v>0</v>
      </c>
      <c r="L19" s="29">
        <f t="shared" si="2"/>
        <v>737.41899999999987</v>
      </c>
      <c r="M19" s="32">
        <v>221.10300000000001</v>
      </c>
      <c r="N19" s="29">
        <v>221.10300000000001</v>
      </c>
      <c r="O19" s="31">
        <v>180.256</v>
      </c>
      <c r="P19" s="33">
        <v>11.847</v>
      </c>
    </row>
    <row r="20" spans="1:16" x14ac:dyDescent="0.35">
      <c r="A20" s="25" t="s">
        <v>246</v>
      </c>
      <c r="B20" s="29">
        <v>4.8</v>
      </c>
      <c r="C20" s="29">
        <v>17.8</v>
      </c>
      <c r="D20" s="29">
        <f t="shared" si="0"/>
        <v>22.6</v>
      </c>
      <c r="E20" s="30">
        <f t="shared" si="1"/>
        <v>21.238938053097343</v>
      </c>
      <c r="F20" s="31">
        <v>0</v>
      </c>
      <c r="G20" s="31">
        <v>0</v>
      </c>
      <c r="H20" s="31">
        <v>1.9</v>
      </c>
      <c r="I20" s="31">
        <v>0</v>
      </c>
      <c r="J20" s="31">
        <v>0</v>
      </c>
      <c r="K20" s="31">
        <v>0</v>
      </c>
      <c r="L20" s="29">
        <f t="shared" si="2"/>
        <v>1.9</v>
      </c>
      <c r="M20" s="32">
        <v>15.9</v>
      </c>
      <c r="N20" s="29">
        <v>15.9</v>
      </c>
      <c r="O20" s="31">
        <v>15.7</v>
      </c>
      <c r="P20" s="33">
        <v>0</v>
      </c>
    </row>
    <row r="21" spans="1:16" x14ac:dyDescent="0.35">
      <c r="A21" s="25" t="s">
        <v>247</v>
      </c>
      <c r="B21" s="29">
        <v>2200.9209999999998</v>
      </c>
      <c r="C21" s="29">
        <v>1286.7940000000001</v>
      </c>
      <c r="D21" s="29">
        <f t="shared" si="0"/>
        <v>3487.7150000000001</v>
      </c>
      <c r="E21" s="30">
        <f t="shared" si="1"/>
        <v>63.104955536791273</v>
      </c>
      <c r="F21" s="31">
        <v>227.095</v>
      </c>
      <c r="G21" s="31">
        <v>68.605000000000004</v>
      </c>
      <c r="H21" s="31">
        <v>1.3759999999999999</v>
      </c>
      <c r="I21" s="31">
        <v>0.158</v>
      </c>
      <c r="J21" s="31">
        <v>17.239999999999998</v>
      </c>
      <c r="K21" s="31">
        <v>0</v>
      </c>
      <c r="L21" s="29">
        <f t="shared" si="2"/>
        <v>314.47399999999999</v>
      </c>
      <c r="M21" s="32">
        <v>959.32</v>
      </c>
      <c r="N21" s="29">
        <v>821.32</v>
      </c>
      <c r="O21" s="31">
        <v>444.16300000000001</v>
      </c>
      <c r="P21" s="33">
        <v>377.15699999999998</v>
      </c>
    </row>
    <row r="22" spans="1:16" x14ac:dyDescent="0.35">
      <c r="A22" s="25" t="s">
        <v>248</v>
      </c>
      <c r="B22" s="29">
        <v>156.22399999999999</v>
      </c>
      <c r="C22" s="29">
        <v>804.82500000000005</v>
      </c>
      <c r="D22" s="29">
        <f t="shared" si="0"/>
        <v>961.04899999999998</v>
      </c>
      <c r="E22" s="30">
        <f t="shared" si="1"/>
        <v>16.255570735727314</v>
      </c>
      <c r="F22" s="31">
        <v>770.98299999999995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  <c r="L22" s="29">
        <f t="shared" si="2"/>
        <v>770.98299999999995</v>
      </c>
      <c r="M22" s="32">
        <v>33.81</v>
      </c>
      <c r="N22" s="29">
        <v>33.81</v>
      </c>
      <c r="O22" s="31">
        <v>30.19</v>
      </c>
      <c r="P22" s="33">
        <v>0</v>
      </c>
    </row>
    <row r="23" spans="1:16" x14ac:dyDescent="0.35">
      <c r="A23" s="25" t="s">
        <v>249</v>
      </c>
      <c r="B23" s="29">
        <v>42.530999999999999</v>
      </c>
      <c r="C23" s="29">
        <v>2.3279999999999998</v>
      </c>
      <c r="D23" s="29">
        <f t="shared" si="0"/>
        <v>44.859000000000002</v>
      </c>
      <c r="E23" s="30">
        <f t="shared" si="1"/>
        <v>94.810405938607616</v>
      </c>
      <c r="F23" s="31">
        <v>0</v>
      </c>
      <c r="G23" s="31">
        <v>0</v>
      </c>
      <c r="H23" s="31">
        <v>0.69299999999999995</v>
      </c>
      <c r="I23" s="31">
        <v>0</v>
      </c>
      <c r="J23" s="31">
        <v>0</v>
      </c>
      <c r="K23" s="31">
        <v>0</v>
      </c>
      <c r="L23" s="29">
        <f t="shared" si="2"/>
        <v>0.69299999999999995</v>
      </c>
      <c r="M23" s="32">
        <v>1.635</v>
      </c>
      <c r="N23" s="29">
        <v>1.635</v>
      </c>
      <c r="O23" s="31">
        <v>1.099</v>
      </c>
      <c r="P23" s="33">
        <v>0</v>
      </c>
    </row>
    <row r="24" spans="1:16" x14ac:dyDescent="0.35">
      <c r="A24" s="25" t="s">
        <v>250</v>
      </c>
      <c r="B24" s="29">
        <v>119.9</v>
      </c>
      <c r="C24" s="29">
        <v>10.7</v>
      </c>
      <c r="D24" s="29">
        <f t="shared" si="0"/>
        <v>130.6</v>
      </c>
      <c r="E24" s="30">
        <f t="shared" si="1"/>
        <v>91.807044410413482</v>
      </c>
      <c r="F24" s="31">
        <v>0</v>
      </c>
      <c r="G24" s="31">
        <v>1</v>
      </c>
      <c r="H24" s="31">
        <v>2.4</v>
      </c>
      <c r="I24" s="31">
        <v>0</v>
      </c>
      <c r="J24" s="31">
        <v>0</v>
      </c>
      <c r="K24" s="31">
        <v>0</v>
      </c>
      <c r="L24" s="29">
        <f t="shared" si="2"/>
        <v>3.4</v>
      </c>
      <c r="M24" s="32">
        <v>7.2</v>
      </c>
      <c r="N24" s="29">
        <v>7.2</v>
      </c>
      <c r="O24" s="31">
        <v>7</v>
      </c>
      <c r="P24" s="33">
        <v>0</v>
      </c>
    </row>
    <row r="25" spans="1:16" x14ac:dyDescent="0.35">
      <c r="A25" s="25" t="s">
        <v>251</v>
      </c>
      <c r="B25" s="29">
        <v>0</v>
      </c>
      <c r="C25" s="29">
        <v>2.024</v>
      </c>
      <c r="D25" s="29">
        <f t="shared" si="0"/>
        <v>2.024</v>
      </c>
      <c r="E25" s="30">
        <f t="shared" si="1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29">
        <f t="shared" si="2"/>
        <v>0</v>
      </c>
      <c r="M25" s="32">
        <v>2.024</v>
      </c>
      <c r="N25" s="29">
        <v>2.024</v>
      </c>
      <c r="O25" s="31">
        <v>2.024</v>
      </c>
      <c r="P25" s="33">
        <v>0</v>
      </c>
    </row>
    <row r="26" spans="1:16" x14ac:dyDescent="0.35">
      <c r="A26" s="25" t="s">
        <v>252</v>
      </c>
      <c r="B26" s="29">
        <v>0</v>
      </c>
      <c r="C26" s="29">
        <v>14</v>
      </c>
      <c r="D26" s="29">
        <f t="shared" si="0"/>
        <v>14</v>
      </c>
      <c r="E26" s="30">
        <f t="shared" si="1"/>
        <v>0</v>
      </c>
      <c r="F26" s="31">
        <v>9</v>
      </c>
      <c r="G26" s="31">
        <v>0</v>
      </c>
      <c r="H26" s="31">
        <v>2</v>
      </c>
      <c r="I26" s="31">
        <v>0</v>
      </c>
      <c r="J26" s="31">
        <v>0</v>
      </c>
      <c r="K26" s="31">
        <v>0</v>
      </c>
      <c r="L26" s="29">
        <f t="shared" si="2"/>
        <v>11</v>
      </c>
      <c r="M26" s="32">
        <v>3</v>
      </c>
      <c r="N26" s="29">
        <v>3</v>
      </c>
      <c r="O26" s="31">
        <v>1</v>
      </c>
      <c r="P26" s="33">
        <v>0</v>
      </c>
    </row>
    <row r="27" spans="1:16" x14ac:dyDescent="0.35">
      <c r="A27" s="25" t="s">
        <v>253</v>
      </c>
      <c r="B27" s="29">
        <v>1961.826</v>
      </c>
      <c r="C27" s="29">
        <v>6.0730000000000004</v>
      </c>
      <c r="D27" s="29">
        <f t="shared" si="0"/>
        <v>1967.8990000000001</v>
      </c>
      <c r="E27" s="30">
        <f t="shared" si="1"/>
        <v>99.691396763756671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29">
        <f t="shared" si="2"/>
        <v>0</v>
      </c>
      <c r="M27" s="32">
        <v>6.0730000000000004</v>
      </c>
      <c r="N27" s="29">
        <v>6.0730000000000004</v>
      </c>
      <c r="O27" s="31">
        <v>1.633</v>
      </c>
      <c r="P27" s="33">
        <v>0</v>
      </c>
    </row>
    <row r="28" spans="1:16" x14ac:dyDescent="0.35">
      <c r="A28" s="25" t="s">
        <v>254</v>
      </c>
      <c r="B28" s="29">
        <v>9395.1630000000005</v>
      </c>
      <c r="C28" s="29">
        <v>7.58</v>
      </c>
      <c r="D28" s="29">
        <f t="shared" si="0"/>
        <v>9402.7430000000004</v>
      </c>
      <c r="E28" s="30">
        <f t="shared" si="1"/>
        <v>99.919385226204739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29">
        <f t="shared" si="2"/>
        <v>0</v>
      </c>
      <c r="M28" s="32">
        <v>7.4859999999999998</v>
      </c>
      <c r="N28" s="29">
        <v>7.2</v>
      </c>
      <c r="O28" s="31">
        <v>0</v>
      </c>
      <c r="P28" s="33">
        <v>0</v>
      </c>
    </row>
    <row r="29" spans="1:16" x14ac:dyDescent="0.35">
      <c r="A29" s="25" t="s">
        <v>255</v>
      </c>
      <c r="B29" s="29">
        <v>0</v>
      </c>
      <c r="C29" s="29">
        <v>21.79</v>
      </c>
      <c r="D29" s="29">
        <f t="shared" si="0"/>
        <v>21.79</v>
      </c>
      <c r="E29" s="30">
        <f t="shared" si="1"/>
        <v>0</v>
      </c>
      <c r="F29" s="31">
        <v>0.21299999999999999</v>
      </c>
      <c r="G29" s="31">
        <v>0.81699999999999995</v>
      </c>
      <c r="H29" s="31">
        <v>9.5969999999999995</v>
      </c>
      <c r="I29" s="31">
        <v>0.17399999999999999</v>
      </c>
      <c r="J29" s="31">
        <v>0.80900000000000005</v>
      </c>
      <c r="K29" s="31">
        <v>0</v>
      </c>
      <c r="L29" s="29">
        <f t="shared" si="2"/>
        <v>11.609999999999998</v>
      </c>
      <c r="M29" s="32">
        <v>10.18</v>
      </c>
      <c r="N29" s="29">
        <v>10.18</v>
      </c>
      <c r="O29" s="31">
        <v>10.106999999999999</v>
      </c>
      <c r="P29" s="33">
        <v>0</v>
      </c>
    </row>
    <row r="30" spans="1:16" x14ac:dyDescent="0.35">
      <c r="A30" s="25" t="s">
        <v>256</v>
      </c>
      <c r="B30" s="29">
        <v>80.605000000000004</v>
      </c>
      <c r="C30" s="29">
        <v>165.35900000000001</v>
      </c>
      <c r="D30" s="29">
        <f t="shared" si="0"/>
        <v>245.964</v>
      </c>
      <c r="E30" s="30">
        <f t="shared" si="1"/>
        <v>32.771055926883612</v>
      </c>
      <c r="F30" s="31">
        <v>0</v>
      </c>
      <c r="G30" s="31">
        <v>83.06</v>
      </c>
      <c r="H30" s="31">
        <v>4.4329999999999998</v>
      </c>
      <c r="I30" s="31">
        <v>0</v>
      </c>
      <c r="J30" s="31">
        <v>0.82699999999999996</v>
      </c>
      <c r="K30" s="31">
        <v>0.38200000000000001</v>
      </c>
      <c r="L30" s="29">
        <f t="shared" si="2"/>
        <v>88.701999999999998</v>
      </c>
      <c r="M30" s="32">
        <v>73.989000000000004</v>
      </c>
      <c r="N30" s="29">
        <v>73.989000000000004</v>
      </c>
      <c r="O30" s="31">
        <v>63.988999999999997</v>
      </c>
      <c r="P30" s="33">
        <v>0</v>
      </c>
    </row>
    <row r="31" spans="1:16" x14ac:dyDescent="0.35">
      <c r="A31" s="25" t="s">
        <v>257</v>
      </c>
      <c r="B31" s="29">
        <v>831.47500000000002</v>
      </c>
      <c r="C31" s="29">
        <v>398.73500000000001</v>
      </c>
      <c r="D31" s="29">
        <f t="shared" si="0"/>
        <v>1230.21</v>
      </c>
      <c r="E31" s="30">
        <f t="shared" si="1"/>
        <v>67.588054072068999</v>
      </c>
      <c r="F31" s="31">
        <v>175.92099999999999</v>
      </c>
      <c r="G31" s="31">
        <v>44.576999999999998</v>
      </c>
      <c r="H31" s="31">
        <v>0</v>
      </c>
      <c r="I31" s="31">
        <v>0</v>
      </c>
      <c r="J31" s="31">
        <v>9.1850000000000005</v>
      </c>
      <c r="K31" s="31">
        <v>0</v>
      </c>
      <c r="L31" s="29">
        <f t="shared" si="2"/>
        <v>229.68299999999999</v>
      </c>
      <c r="M31" s="32">
        <v>169.05199999999999</v>
      </c>
      <c r="N31" s="29">
        <v>169.05199999999999</v>
      </c>
      <c r="O31" s="31">
        <v>86.844999999999999</v>
      </c>
      <c r="P31" s="33">
        <v>62.584000000000003</v>
      </c>
    </row>
    <row r="32" spans="1:16" x14ac:dyDescent="0.35">
      <c r="A32" s="25" t="s">
        <v>258</v>
      </c>
      <c r="B32" s="29">
        <v>0</v>
      </c>
      <c r="C32" s="29">
        <v>49.527999999999999</v>
      </c>
      <c r="D32" s="29">
        <f t="shared" si="0"/>
        <v>49.527999999999999</v>
      </c>
      <c r="E32" s="30">
        <f t="shared" si="1"/>
        <v>0</v>
      </c>
      <c r="F32" s="31">
        <v>1.907</v>
      </c>
      <c r="G32" s="31">
        <v>6.3680000000000003</v>
      </c>
      <c r="H32" s="31">
        <v>7.4569999999999999</v>
      </c>
      <c r="I32" s="31">
        <v>0</v>
      </c>
      <c r="J32" s="31">
        <v>0</v>
      </c>
      <c r="K32" s="31">
        <v>29.384</v>
      </c>
      <c r="L32" s="29">
        <f t="shared" si="2"/>
        <v>45.116</v>
      </c>
      <c r="M32" s="32">
        <v>4.4119999999999999</v>
      </c>
      <c r="N32" s="29">
        <v>4.4119999999999999</v>
      </c>
      <c r="O32" s="31">
        <v>3.16</v>
      </c>
      <c r="P32" s="33">
        <v>0</v>
      </c>
    </row>
    <row r="33" spans="1:16" x14ac:dyDescent="0.35">
      <c r="A33" s="25" t="s">
        <v>259</v>
      </c>
      <c r="B33" s="29">
        <v>164.96600000000001</v>
      </c>
      <c r="C33" s="29">
        <v>0</v>
      </c>
      <c r="D33" s="29">
        <f t="shared" si="0"/>
        <v>164.96600000000001</v>
      </c>
      <c r="E33" s="30">
        <f t="shared" si="1"/>
        <v>100.00000000000001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29">
        <f t="shared" si="2"/>
        <v>0</v>
      </c>
      <c r="M33" s="32">
        <v>0</v>
      </c>
      <c r="N33" s="29">
        <v>0</v>
      </c>
      <c r="O33" s="31">
        <v>0</v>
      </c>
      <c r="P33" s="33">
        <v>0</v>
      </c>
    </row>
    <row r="34" spans="1:16" x14ac:dyDescent="0.35">
      <c r="A34" s="25" t="s">
        <v>260</v>
      </c>
      <c r="B34" s="29">
        <v>0</v>
      </c>
      <c r="C34" s="29">
        <v>222</v>
      </c>
      <c r="D34" s="29">
        <f t="shared" si="0"/>
        <v>222</v>
      </c>
      <c r="E34" s="30">
        <f t="shared" si="1"/>
        <v>0</v>
      </c>
      <c r="F34" s="31">
        <v>0</v>
      </c>
      <c r="G34" s="31">
        <v>3</v>
      </c>
      <c r="H34" s="31">
        <v>0</v>
      </c>
      <c r="I34" s="31">
        <v>0</v>
      </c>
      <c r="J34" s="31">
        <v>70</v>
      </c>
      <c r="K34" s="31">
        <v>0</v>
      </c>
      <c r="L34" s="29">
        <f t="shared" si="2"/>
        <v>73</v>
      </c>
      <c r="M34" s="32">
        <v>149</v>
      </c>
      <c r="N34" s="29">
        <v>149</v>
      </c>
      <c r="O34" s="31">
        <v>149</v>
      </c>
      <c r="P34" s="33">
        <v>0</v>
      </c>
    </row>
    <row r="35" spans="1:16" x14ac:dyDescent="0.35">
      <c r="A35" s="25" t="s">
        <v>261</v>
      </c>
      <c r="B35" s="29">
        <v>272</v>
      </c>
      <c r="C35" s="29">
        <v>267</v>
      </c>
      <c r="D35" s="29">
        <f t="shared" si="0"/>
        <v>539</v>
      </c>
      <c r="E35" s="30">
        <f t="shared" si="1"/>
        <v>50.46382189239332</v>
      </c>
      <c r="F35" s="31">
        <v>11</v>
      </c>
      <c r="G35" s="31">
        <v>11</v>
      </c>
      <c r="H35" s="31">
        <v>32</v>
      </c>
      <c r="I35" s="31">
        <v>4</v>
      </c>
      <c r="J35" s="31">
        <v>7</v>
      </c>
      <c r="K35" s="31">
        <v>1</v>
      </c>
      <c r="L35" s="29">
        <f t="shared" si="2"/>
        <v>66</v>
      </c>
      <c r="M35" s="32">
        <v>201</v>
      </c>
      <c r="N35" s="29">
        <v>160</v>
      </c>
      <c r="O35" s="31">
        <v>102</v>
      </c>
      <c r="P35" s="33">
        <v>12</v>
      </c>
    </row>
    <row r="36" spans="1:16" x14ac:dyDescent="0.35">
      <c r="A36" s="25" t="s">
        <v>262</v>
      </c>
      <c r="B36" s="29">
        <v>1573</v>
      </c>
      <c r="C36" s="29">
        <v>320.67200000000003</v>
      </c>
      <c r="D36" s="29">
        <f t="shared" si="0"/>
        <v>1893.672</v>
      </c>
      <c r="E36" s="30">
        <f t="shared" si="1"/>
        <v>83.06612760816023</v>
      </c>
      <c r="F36" s="31">
        <v>1</v>
      </c>
      <c r="G36" s="31">
        <v>9</v>
      </c>
      <c r="H36" s="31">
        <v>12</v>
      </c>
      <c r="I36" s="31">
        <v>0</v>
      </c>
      <c r="J36" s="31">
        <v>12</v>
      </c>
      <c r="K36" s="31">
        <v>0</v>
      </c>
      <c r="L36" s="29">
        <f t="shared" si="2"/>
        <v>34</v>
      </c>
      <c r="M36" s="32">
        <v>286.67200000000003</v>
      </c>
      <c r="N36" s="29">
        <v>286.67200000000003</v>
      </c>
      <c r="O36" s="31">
        <v>192.68299999999999</v>
      </c>
      <c r="P36" s="33">
        <v>80.998999999999995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06"/>
  <sheetViews>
    <sheetView topLeftCell="A12" workbookViewId="0">
      <selection activeCell="H21" sqref="H21"/>
    </sheetView>
  </sheetViews>
  <sheetFormatPr defaultRowHeight="14.5" x14ac:dyDescent="0.35"/>
  <cols>
    <col min="1" max="1" width="22.90625" customWidth="1"/>
    <col min="2" max="2" width="13" customWidth="1"/>
  </cols>
  <sheetData>
    <row r="1" spans="1:1" x14ac:dyDescent="0.35">
      <c r="A1" t="s">
        <v>269</v>
      </c>
    </row>
    <row r="17" spans="1:18" x14ac:dyDescent="0.35">
      <c r="K17" t="s">
        <v>278</v>
      </c>
      <c r="P17" t="s">
        <v>455</v>
      </c>
    </row>
    <row r="18" spans="1:18" x14ac:dyDescent="0.35">
      <c r="A18" t="s">
        <v>267</v>
      </c>
    </row>
    <row r="19" spans="1:18" x14ac:dyDescent="0.35">
      <c r="K19" t="s">
        <v>279</v>
      </c>
      <c r="L19" t="s">
        <v>280</v>
      </c>
      <c r="M19" t="s">
        <v>281</v>
      </c>
      <c r="N19" t="s">
        <v>282</v>
      </c>
      <c r="P19" s="2" t="s">
        <v>456</v>
      </c>
      <c r="Q19" s="2" t="s">
        <v>457</v>
      </c>
      <c r="R19" s="2" t="s">
        <v>458</v>
      </c>
    </row>
    <row r="20" spans="1:18" x14ac:dyDescent="0.35">
      <c r="K20" t="s">
        <v>283</v>
      </c>
      <c r="L20" t="s">
        <v>284</v>
      </c>
      <c r="M20" t="s">
        <v>285</v>
      </c>
      <c r="N20">
        <v>162</v>
      </c>
      <c r="P20" t="s">
        <v>459</v>
      </c>
      <c r="Q20" t="s">
        <v>460</v>
      </c>
      <c r="R20">
        <v>150000</v>
      </c>
    </row>
    <row r="21" spans="1:18" x14ac:dyDescent="0.35">
      <c r="K21" t="s">
        <v>283</v>
      </c>
      <c r="L21" t="s">
        <v>286</v>
      </c>
      <c r="M21" t="s">
        <v>287</v>
      </c>
      <c r="N21">
        <v>237</v>
      </c>
      <c r="P21" t="s">
        <v>461</v>
      </c>
      <c r="Q21" t="s">
        <v>460</v>
      </c>
      <c r="R21">
        <v>50000</v>
      </c>
    </row>
    <row r="22" spans="1:18" x14ac:dyDescent="0.35">
      <c r="K22" t="s">
        <v>283</v>
      </c>
      <c r="L22" t="s">
        <v>288</v>
      </c>
      <c r="M22" t="s">
        <v>289</v>
      </c>
      <c r="N22">
        <v>237</v>
      </c>
      <c r="P22" t="s">
        <v>462</v>
      </c>
      <c r="Q22" t="s">
        <v>463</v>
      </c>
      <c r="R22">
        <v>125000</v>
      </c>
    </row>
    <row r="23" spans="1:18" x14ac:dyDescent="0.35">
      <c r="A23" t="s">
        <v>268</v>
      </c>
      <c r="K23" t="s">
        <v>283</v>
      </c>
      <c r="L23" t="s">
        <v>290</v>
      </c>
      <c r="M23" t="s">
        <v>291</v>
      </c>
      <c r="N23">
        <v>241</v>
      </c>
      <c r="P23" t="s">
        <v>464</v>
      </c>
      <c r="Q23" s="7" t="s">
        <v>465</v>
      </c>
      <c r="R23">
        <v>250000</v>
      </c>
    </row>
    <row r="24" spans="1:18" x14ac:dyDescent="0.35">
      <c r="A24" s="347" t="s">
        <v>489</v>
      </c>
      <c r="B24" s="348" t="s">
        <v>490</v>
      </c>
      <c r="C24" s="348" t="s">
        <v>491</v>
      </c>
      <c r="D24" s="348" t="s">
        <v>492</v>
      </c>
      <c r="K24" t="s">
        <v>283</v>
      </c>
      <c r="L24" t="s">
        <v>292</v>
      </c>
      <c r="M24" t="s">
        <v>293</v>
      </c>
      <c r="N24">
        <v>258</v>
      </c>
      <c r="P24" t="s">
        <v>466</v>
      </c>
      <c r="Q24" s="8" t="s">
        <v>467</v>
      </c>
      <c r="R24">
        <v>350000</v>
      </c>
    </row>
    <row r="25" spans="1:18" x14ac:dyDescent="0.35">
      <c r="A25" s="347"/>
      <c r="B25" s="348"/>
      <c r="C25" s="348"/>
      <c r="D25" s="348"/>
      <c r="K25" t="s">
        <v>283</v>
      </c>
      <c r="L25" t="s">
        <v>294</v>
      </c>
      <c r="M25" t="s">
        <v>295</v>
      </c>
      <c r="N25">
        <v>268</v>
      </c>
      <c r="P25" t="s">
        <v>468</v>
      </c>
      <c r="Q25" s="8" t="s">
        <v>469</v>
      </c>
      <c r="R25">
        <v>50000</v>
      </c>
    </row>
    <row r="26" spans="1:18" x14ac:dyDescent="0.35">
      <c r="A26">
        <v>251122</v>
      </c>
      <c r="B26" s="34" t="s">
        <v>493</v>
      </c>
      <c r="C26" s="34" t="s">
        <v>494</v>
      </c>
      <c r="D26" s="34" t="s">
        <v>495</v>
      </c>
      <c r="K26" t="s">
        <v>283</v>
      </c>
      <c r="L26" t="s">
        <v>296</v>
      </c>
      <c r="M26" t="s">
        <v>297</v>
      </c>
      <c r="N26">
        <v>310</v>
      </c>
      <c r="P26" t="s">
        <v>470</v>
      </c>
      <c r="Q26" s="8" t="s">
        <v>469</v>
      </c>
      <c r="R26">
        <v>175000</v>
      </c>
    </row>
    <row r="27" spans="1:18" x14ac:dyDescent="0.35">
      <c r="A27">
        <v>251123</v>
      </c>
      <c r="B27" s="34" t="s">
        <v>496</v>
      </c>
      <c r="C27" s="34" t="s">
        <v>497</v>
      </c>
      <c r="D27" s="34" t="s">
        <v>498</v>
      </c>
      <c r="K27" t="s">
        <v>283</v>
      </c>
      <c r="L27" t="s">
        <v>298</v>
      </c>
      <c r="M27" t="s">
        <v>299</v>
      </c>
      <c r="N27">
        <v>318</v>
      </c>
      <c r="P27" t="s">
        <v>471</v>
      </c>
      <c r="Q27" t="s">
        <v>472</v>
      </c>
      <c r="R27">
        <v>75000</v>
      </c>
    </row>
    <row r="28" spans="1:18" x14ac:dyDescent="0.35">
      <c r="A28">
        <v>251124</v>
      </c>
      <c r="B28" s="34" t="s">
        <v>499</v>
      </c>
      <c r="C28" s="34" t="s">
        <v>500</v>
      </c>
      <c r="D28" s="34" t="s">
        <v>501</v>
      </c>
      <c r="K28" t="s">
        <v>283</v>
      </c>
      <c r="L28" t="s">
        <v>300</v>
      </c>
      <c r="M28" t="s">
        <v>301</v>
      </c>
      <c r="N28">
        <v>319</v>
      </c>
      <c r="P28" t="s">
        <v>473</v>
      </c>
      <c r="Q28" t="s">
        <v>474</v>
      </c>
      <c r="R28">
        <v>100000</v>
      </c>
    </row>
    <row r="29" spans="1:18" x14ac:dyDescent="0.35">
      <c r="A29" t="s">
        <v>486</v>
      </c>
      <c r="B29" s="34" t="s">
        <v>502</v>
      </c>
      <c r="C29" s="34" t="s">
        <v>503</v>
      </c>
      <c r="K29" t="s">
        <v>283</v>
      </c>
      <c r="L29" t="s">
        <v>302</v>
      </c>
      <c r="M29" t="s">
        <v>303</v>
      </c>
      <c r="N29">
        <v>320</v>
      </c>
      <c r="P29" t="s">
        <v>475</v>
      </c>
      <c r="Q29" t="s">
        <v>476</v>
      </c>
      <c r="R29">
        <v>50000</v>
      </c>
    </row>
    <row r="30" spans="1:18" x14ac:dyDescent="0.35">
      <c r="K30" t="s">
        <v>283</v>
      </c>
      <c r="L30" t="s">
        <v>304</v>
      </c>
      <c r="M30" t="s">
        <v>305</v>
      </c>
      <c r="N30">
        <v>356</v>
      </c>
      <c r="P30" t="s">
        <v>477</v>
      </c>
      <c r="Q30" s="7" t="s">
        <v>478</v>
      </c>
      <c r="R30">
        <v>200000</v>
      </c>
    </row>
    <row r="31" spans="1:18" x14ac:dyDescent="0.35">
      <c r="K31" t="s">
        <v>283</v>
      </c>
      <c r="L31" t="s">
        <v>306</v>
      </c>
      <c r="M31" t="s">
        <v>307</v>
      </c>
      <c r="N31">
        <v>367</v>
      </c>
      <c r="P31" t="s">
        <v>479</v>
      </c>
      <c r="Q31" s="7" t="s">
        <v>480</v>
      </c>
      <c r="R31">
        <v>500000</v>
      </c>
    </row>
    <row r="32" spans="1:18" x14ac:dyDescent="0.35">
      <c r="A32" t="s">
        <v>505</v>
      </c>
      <c r="K32" t="s">
        <v>283</v>
      </c>
      <c r="L32" t="s">
        <v>308</v>
      </c>
      <c r="M32" t="s">
        <v>309</v>
      </c>
      <c r="N32">
        <v>371</v>
      </c>
      <c r="Q32" s="2" t="s">
        <v>481</v>
      </c>
      <c r="R32" s="2">
        <f>SUM(R20:R31)</f>
        <v>2075000</v>
      </c>
    </row>
    <row r="33" spans="1:14" x14ac:dyDescent="0.35">
      <c r="A33" t="s">
        <v>504</v>
      </c>
      <c r="B33" s="6">
        <v>0.4</v>
      </c>
      <c r="K33" t="s">
        <v>283</v>
      </c>
      <c r="L33" t="s">
        <v>310</v>
      </c>
      <c r="M33" t="s">
        <v>311</v>
      </c>
      <c r="N33">
        <v>379</v>
      </c>
    </row>
    <row r="34" spans="1:14" x14ac:dyDescent="0.35">
      <c r="A34" t="s">
        <v>486</v>
      </c>
      <c r="B34">
        <v>65</v>
      </c>
      <c r="C34" t="s">
        <v>503</v>
      </c>
      <c r="K34" t="s">
        <v>283</v>
      </c>
      <c r="L34" t="s">
        <v>312</v>
      </c>
      <c r="M34" t="s">
        <v>313</v>
      </c>
      <c r="N34">
        <v>416</v>
      </c>
    </row>
    <row r="35" spans="1:14" x14ac:dyDescent="0.35">
      <c r="A35" t="s">
        <v>506</v>
      </c>
      <c r="B35" s="6">
        <v>0.5</v>
      </c>
      <c r="K35" t="s">
        <v>283</v>
      </c>
      <c r="L35" t="s">
        <v>314</v>
      </c>
      <c r="M35" t="s">
        <v>315</v>
      </c>
      <c r="N35">
        <v>437</v>
      </c>
    </row>
    <row r="36" spans="1:14" x14ac:dyDescent="0.35">
      <c r="K36" t="s">
        <v>283</v>
      </c>
      <c r="L36" t="s">
        <v>316</v>
      </c>
      <c r="M36" t="s">
        <v>317</v>
      </c>
      <c r="N36">
        <v>443</v>
      </c>
    </row>
    <row r="37" spans="1:14" x14ac:dyDescent="0.35">
      <c r="K37" t="s">
        <v>283</v>
      </c>
      <c r="L37" t="s">
        <v>318</v>
      </c>
      <c r="M37" t="s">
        <v>319</v>
      </c>
      <c r="N37">
        <v>445</v>
      </c>
    </row>
    <row r="38" spans="1:14" x14ac:dyDescent="0.35">
      <c r="A38" t="s">
        <v>270</v>
      </c>
      <c r="K38" t="s">
        <v>283</v>
      </c>
      <c r="L38" t="s">
        <v>320</v>
      </c>
      <c r="M38" t="s">
        <v>321</v>
      </c>
      <c r="N38">
        <v>457</v>
      </c>
    </row>
    <row r="39" spans="1:14" x14ac:dyDescent="0.35">
      <c r="A39" t="s">
        <v>271</v>
      </c>
      <c r="B39">
        <v>4500</v>
      </c>
      <c r="C39" t="s">
        <v>272</v>
      </c>
      <c r="K39" t="s">
        <v>283</v>
      </c>
      <c r="L39" t="s">
        <v>322</v>
      </c>
      <c r="M39" t="s">
        <v>323</v>
      </c>
      <c r="N39">
        <v>466</v>
      </c>
    </row>
    <row r="40" spans="1:14" x14ac:dyDescent="0.35">
      <c r="A40" t="s">
        <v>273</v>
      </c>
      <c r="B40">
        <v>435000</v>
      </c>
      <c r="C40" t="s">
        <v>274</v>
      </c>
      <c r="K40" t="s">
        <v>283</v>
      </c>
      <c r="L40" t="s">
        <v>324</v>
      </c>
      <c r="M40" t="s">
        <v>325</v>
      </c>
      <c r="N40">
        <v>490</v>
      </c>
    </row>
    <row r="41" spans="1:14" x14ac:dyDescent="0.35">
      <c r="A41" t="s">
        <v>275</v>
      </c>
      <c r="B41">
        <v>108750</v>
      </c>
      <c r="C41" t="s">
        <v>276</v>
      </c>
      <c r="D41" s="6">
        <v>0.25</v>
      </c>
      <c r="K41" t="s">
        <v>283</v>
      </c>
      <c r="L41" t="s">
        <v>326</v>
      </c>
      <c r="M41" t="s">
        <v>327</v>
      </c>
      <c r="N41">
        <v>492</v>
      </c>
    </row>
    <row r="42" spans="1:14" x14ac:dyDescent="0.35">
      <c r="A42" t="s">
        <v>277</v>
      </c>
      <c r="B42">
        <v>326250</v>
      </c>
      <c r="C42" t="s">
        <v>276</v>
      </c>
      <c r="D42" s="6">
        <v>0.75</v>
      </c>
      <c r="K42" t="s">
        <v>283</v>
      </c>
      <c r="L42" t="s">
        <v>328</v>
      </c>
      <c r="M42" t="s">
        <v>329</v>
      </c>
      <c r="N42">
        <v>496</v>
      </c>
    </row>
    <row r="43" spans="1:14" x14ac:dyDescent="0.35">
      <c r="A43" t="s">
        <v>488</v>
      </c>
      <c r="B43">
        <v>80</v>
      </c>
      <c r="C43" t="s">
        <v>487</v>
      </c>
      <c r="K43" t="s">
        <v>283</v>
      </c>
      <c r="L43" t="s">
        <v>330</v>
      </c>
      <c r="M43" t="s">
        <v>331</v>
      </c>
      <c r="N43">
        <v>501</v>
      </c>
    </row>
    <row r="44" spans="1:14" x14ac:dyDescent="0.35">
      <c r="K44" t="s">
        <v>283</v>
      </c>
      <c r="L44" t="s">
        <v>332</v>
      </c>
      <c r="M44" t="s">
        <v>333</v>
      </c>
      <c r="N44">
        <v>511</v>
      </c>
    </row>
    <row r="45" spans="1:14" x14ac:dyDescent="0.35">
      <c r="A45" t="s">
        <v>485</v>
      </c>
      <c r="K45" t="s">
        <v>283</v>
      </c>
      <c r="L45" t="s">
        <v>334</v>
      </c>
      <c r="M45" t="s">
        <v>335</v>
      </c>
      <c r="N45">
        <v>526</v>
      </c>
    </row>
    <row r="46" spans="1:14" x14ac:dyDescent="0.35">
      <c r="A46" t="s">
        <v>271</v>
      </c>
      <c r="B46">
        <v>4000</v>
      </c>
      <c r="C46" t="s">
        <v>272</v>
      </c>
      <c r="K46" t="s">
        <v>283</v>
      </c>
      <c r="L46" t="s">
        <v>336</v>
      </c>
      <c r="M46" t="s">
        <v>337</v>
      </c>
      <c r="N46">
        <v>542</v>
      </c>
    </row>
    <row r="47" spans="1:14" x14ac:dyDescent="0.35">
      <c r="A47" t="s">
        <v>484</v>
      </c>
      <c r="B47">
        <v>1500000</v>
      </c>
      <c r="C47" t="s">
        <v>274</v>
      </c>
      <c r="K47" t="s">
        <v>283</v>
      </c>
      <c r="L47" t="s">
        <v>338</v>
      </c>
      <c r="M47" t="s">
        <v>339</v>
      </c>
      <c r="N47">
        <v>554</v>
      </c>
    </row>
    <row r="48" spans="1:14" x14ac:dyDescent="0.35">
      <c r="A48" t="s">
        <v>275</v>
      </c>
      <c r="B48">
        <v>270000</v>
      </c>
      <c r="C48" t="s">
        <v>274</v>
      </c>
      <c r="D48" s="6">
        <v>0.18</v>
      </c>
      <c r="K48" t="s">
        <v>283</v>
      </c>
      <c r="L48" t="s">
        <v>340</v>
      </c>
      <c r="M48" t="s">
        <v>341</v>
      </c>
      <c r="N48">
        <v>570</v>
      </c>
    </row>
    <row r="49" spans="1:14" x14ac:dyDescent="0.35">
      <c r="A49" t="s">
        <v>483</v>
      </c>
      <c r="B49">
        <v>675000</v>
      </c>
      <c r="C49" t="s">
        <v>274</v>
      </c>
      <c r="D49" s="6">
        <v>0.45</v>
      </c>
      <c r="K49" t="s">
        <v>283</v>
      </c>
      <c r="L49" t="s">
        <v>342</v>
      </c>
      <c r="M49" t="s">
        <v>343</v>
      </c>
      <c r="N49">
        <v>575</v>
      </c>
    </row>
    <row r="50" spans="1:14" x14ac:dyDescent="0.35">
      <c r="A50" t="s">
        <v>482</v>
      </c>
      <c r="B50">
        <v>555000</v>
      </c>
      <c r="C50" t="s">
        <v>274</v>
      </c>
      <c r="D50" s="6">
        <v>0.37</v>
      </c>
      <c r="K50" t="s">
        <v>283</v>
      </c>
      <c r="L50" t="s">
        <v>344</v>
      </c>
      <c r="M50" t="s">
        <v>345</v>
      </c>
      <c r="N50">
        <v>581</v>
      </c>
    </row>
    <row r="51" spans="1:14" x14ac:dyDescent="0.35">
      <c r="A51" t="s">
        <v>486</v>
      </c>
      <c r="B51">
        <v>70</v>
      </c>
      <c r="C51" t="s">
        <v>487</v>
      </c>
      <c r="K51" t="s">
        <v>283</v>
      </c>
      <c r="L51" t="s">
        <v>346</v>
      </c>
      <c r="M51" t="s">
        <v>347</v>
      </c>
      <c r="N51">
        <v>586</v>
      </c>
    </row>
    <row r="52" spans="1:14" x14ac:dyDescent="0.35">
      <c r="K52" t="s">
        <v>283</v>
      </c>
      <c r="L52" t="s">
        <v>348</v>
      </c>
      <c r="M52" t="s">
        <v>349</v>
      </c>
      <c r="N52">
        <v>614</v>
      </c>
    </row>
    <row r="53" spans="1:14" x14ac:dyDescent="0.35">
      <c r="K53" t="s">
        <v>283</v>
      </c>
      <c r="L53" t="s">
        <v>350</v>
      </c>
      <c r="M53" t="s">
        <v>351</v>
      </c>
      <c r="N53">
        <v>673</v>
      </c>
    </row>
    <row r="54" spans="1:14" x14ac:dyDescent="0.35">
      <c r="K54" t="s">
        <v>283</v>
      </c>
      <c r="L54" t="s">
        <v>352</v>
      </c>
      <c r="M54" t="s">
        <v>353</v>
      </c>
      <c r="N54">
        <v>707</v>
      </c>
    </row>
    <row r="55" spans="1:14" x14ac:dyDescent="0.35">
      <c r="K55" t="s">
        <v>283</v>
      </c>
      <c r="L55" t="s">
        <v>354</v>
      </c>
      <c r="M55" t="s">
        <v>355</v>
      </c>
      <c r="N55">
        <v>724</v>
      </c>
    </row>
    <row r="56" spans="1:14" x14ac:dyDescent="0.35">
      <c r="K56" t="s">
        <v>283</v>
      </c>
      <c r="L56" t="s">
        <v>356</v>
      </c>
      <c r="M56" t="s">
        <v>357</v>
      </c>
      <c r="N56">
        <v>763</v>
      </c>
    </row>
    <row r="57" spans="1:14" x14ac:dyDescent="0.35">
      <c r="K57" t="s">
        <v>283</v>
      </c>
      <c r="L57" t="s">
        <v>358</v>
      </c>
      <c r="M57" t="s">
        <v>359</v>
      </c>
      <c r="N57">
        <v>792</v>
      </c>
    </row>
    <row r="58" spans="1:14" x14ac:dyDescent="0.35">
      <c r="K58" t="s">
        <v>283</v>
      </c>
      <c r="L58" t="s">
        <v>360</v>
      </c>
      <c r="M58" t="s">
        <v>361</v>
      </c>
      <c r="N58">
        <v>831</v>
      </c>
    </row>
    <row r="59" spans="1:14" x14ac:dyDescent="0.35">
      <c r="K59" t="s">
        <v>283</v>
      </c>
      <c r="L59" t="s">
        <v>362</v>
      </c>
      <c r="M59" t="s">
        <v>363</v>
      </c>
      <c r="N59">
        <v>840</v>
      </c>
    </row>
    <row r="60" spans="1:14" x14ac:dyDescent="0.35">
      <c r="K60" t="s">
        <v>283</v>
      </c>
      <c r="L60" t="s">
        <v>364</v>
      </c>
      <c r="M60" t="s">
        <v>365</v>
      </c>
      <c r="N60">
        <v>843</v>
      </c>
    </row>
    <row r="61" spans="1:14" x14ac:dyDescent="0.35">
      <c r="K61" t="s">
        <v>283</v>
      </c>
      <c r="L61" t="s">
        <v>366</v>
      </c>
      <c r="M61" t="s">
        <v>367</v>
      </c>
      <c r="N61">
        <v>850</v>
      </c>
    </row>
    <row r="62" spans="1:14" x14ac:dyDescent="0.35">
      <c r="K62" t="s">
        <v>283</v>
      </c>
      <c r="L62" t="s">
        <v>368</v>
      </c>
      <c r="M62" t="s">
        <v>369</v>
      </c>
      <c r="N62">
        <v>856</v>
      </c>
    </row>
    <row r="63" spans="1:14" x14ac:dyDescent="0.35">
      <c r="K63" t="s">
        <v>283</v>
      </c>
      <c r="L63" t="s">
        <v>370</v>
      </c>
      <c r="M63" t="s">
        <v>371</v>
      </c>
      <c r="N63">
        <v>858</v>
      </c>
    </row>
    <row r="64" spans="1:14" x14ac:dyDescent="0.35">
      <c r="K64" t="s">
        <v>283</v>
      </c>
      <c r="L64" t="s">
        <v>372</v>
      </c>
      <c r="M64" t="s">
        <v>373</v>
      </c>
      <c r="N64">
        <v>860</v>
      </c>
    </row>
    <row r="65" spans="11:14" x14ac:dyDescent="0.35">
      <c r="K65" t="s">
        <v>283</v>
      </c>
      <c r="L65" t="s">
        <v>374</v>
      </c>
      <c r="M65" t="s">
        <v>375</v>
      </c>
      <c r="N65">
        <v>884</v>
      </c>
    </row>
    <row r="66" spans="11:14" x14ac:dyDescent="0.35">
      <c r="K66" t="s">
        <v>283</v>
      </c>
      <c r="L66" t="s">
        <v>376</v>
      </c>
      <c r="M66" t="s">
        <v>377</v>
      </c>
      <c r="N66">
        <v>906</v>
      </c>
    </row>
    <row r="67" spans="11:14" x14ac:dyDescent="0.35">
      <c r="K67" t="s">
        <v>283</v>
      </c>
      <c r="L67" t="s">
        <v>378</v>
      </c>
      <c r="M67" t="s">
        <v>379</v>
      </c>
      <c r="N67">
        <v>925</v>
      </c>
    </row>
    <row r="68" spans="11:14" x14ac:dyDescent="0.35">
      <c r="K68" t="s">
        <v>283</v>
      </c>
      <c r="L68" t="s">
        <v>380</v>
      </c>
      <c r="M68" t="s">
        <v>381</v>
      </c>
      <c r="N68">
        <v>984</v>
      </c>
    </row>
    <row r="69" spans="11:14" x14ac:dyDescent="0.35">
      <c r="K69" t="s">
        <v>283</v>
      </c>
      <c r="L69" t="s">
        <v>382</v>
      </c>
      <c r="M69" t="s">
        <v>383</v>
      </c>
      <c r="N69">
        <v>1012</v>
      </c>
    </row>
    <row r="70" spans="11:14" x14ac:dyDescent="0.35">
      <c r="K70" t="s">
        <v>283</v>
      </c>
      <c r="L70" t="s">
        <v>384</v>
      </c>
      <c r="M70" t="s">
        <v>385</v>
      </c>
      <c r="N70">
        <v>1024</v>
      </c>
    </row>
    <row r="71" spans="11:14" x14ac:dyDescent="0.35">
      <c r="K71" t="s">
        <v>283</v>
      </c>
      <c r="L71" t="s">
        <v>386</v>
      </c>
      <c r="M71" t="s">
        <v>387</v>
      </c>
      <c r="N71">
        <v>1103</v>
      </c>
    </row>
    <row r="72" spans="11:14" x14ac:dyDescent="0.35">
      <c r="K72" t="s">
        <v>283</v>
      </c>
      <c r="L72" t="s">
        <v>388</v>
      </c>
      <c r="M72" t="s">
        <v>389</v>
      </c>
      <c r="N72">
        <v>1122</v>
      </c>
    </row>
    <row r="73" spans="11:14" x14ac:dyDescent="0.35">
      <c r="K73" t="s">
        <v>283</v>
      </c>
      <c r="L73" t="s">
        <v>390</v>
      </c>
      <c r="M73" t="s">
        <v>391</v>
      </c>
      <c r="N73">
        <v>1196</v>
      </c>
    </row>
    <row r="74" spans="11:14" x14ac:dyDescent="0.35">
      <c r="K74" t="s">
        <v>283</v>
      </c>
      <c r="L74" t="s">
        <v>392</v>
      </c>
      <c r="M74" t="s">
        <v>393</v>
      </c>
      <c r="N74">
        <v>1274</v>
      </c>
    </row>
    <row r="75" spans="11:14" x14ac:dyDescent="0.35">
      <c r="K75" t="s">
        <v>283</v>
      </c>
      <c r="L75" t="s">
        <v>283</v>
      </c>
      <c r="M75" t="s">
        <v>394</v>
      </c>
      <c r="N75">
        <v>1383</v>
      </c>
    </row>
    <row r="76" spans="11:14" x14ac:dyDescent="0.35">
      <c r="K76" t="s">
        <v>283</v>
      </c>
      <c r="L76" t="s">
        <v>395</v>
      </c>
      <c r="M76" t="s">
        <v>396</v>
      </c>
      <c r="N76">
        <v>1384</v>
      </c>
    </row>
    <row r="77" spans="11:14" x14ac:dyDescent="0.35">
      <c r="K77" t="s">
        <v>283</v>
      </c>
      <c r="L77" t="s">
        <v>397</v>
      </c>
      <c r="M77" t="s">
        <v>398</v>
      </c>
      <c r="N77">
        <v>1417</v>
      </c>
    </row>
    <row r="78" spans="11:14" x14ac:dyDescent="0.35">
      <c r="K78" t="s">
        <v>283</v>
      </c>
      <c r="L78" t="s">
        <v>399</v>
      </c>
      <c r="M78" t="s">
        <v>400</v>
      </c>
      <c r="N78">
        <v>1487</v>
      </c>
    </row>
    <row r="79" spans="11:14" x14ac:dyDescent="0.35">
      <c r="K79" t="s">
        <v>283</v>
      </c>
      <c r="L79" t="s">
        <v>401</v>
      </c>
      <c r="M79" t="s">
        <v>402</v>
      </c>
      <c r="N79">
        <v>1523</v>
      </c>
    </row>
    <row r="80" spans="11:14" x14ac:dyDescent="0.35">
      <c r="K80" t="s">
        <v>283</v>
      </c>
      <c r="L80" t="s">
        <v>403</v>
      </c>
      <c r="M80" t="s">
        <v>404</v>
      </c>
      <c r="N80">
        <v>1639</v>
      </c>
    </row>
    <row r="81" spans="11:14" x14ac:dyDescent="0.35">
      <c r="K81" t="s">
        <v>283</v>
      </c>
      <c r="L81" t="s">
        <v>405</v>
      </c>
      <c r="M81" t="s">
        <v>406</v>
      </c>
      <c r="N81">
        <v>1705</v>
      </c>
    </row>
    <row r="82" spans="11:14" x14ac:dyDescent="0.35">
      <c r="K82" t="s">
        <v>283</v>
      </c>
      <c r="L82" t="s">
        <v>407</v>
      </c>
      <c r="M82" t="s">
        <v>408</v>
      </c>
      <c r="N82">
        <v>1748</v>
      </c>
    </row>
    <row r="83" spans="11:14" x14ac:dyDescent="0.35">
      <c r="K83" t="s">
        <v>283</v>
      </c>
      <c r="L83" t="s">
        <v>409</v>
      </c>
      <c r="M83" t="s">
        <v>410</v>
      </c>
      <c r="N83">
        <v>1784</v>
      </c>
    </row>
    <row r="84" spans="11:14" x14ac:dyDescent="0.35">
      <c r="K84" t="s">
        <v>283</v>
      </c>
      <c r="L84" t="s">
        <v>411</v>
      </c>
      <c r="M84" t="s">
        <v>412</v>
      </c>
      <c r="N84">
        <v>1926</v>
      </c>
    </row>
    <row r="85" spans="11:14" x14ac:dyDescent="0.35">
      <c r="K85" t="s">
        <v>283</v>
      </c>
      <c r="L85" t="s">
        <v>413</v>
      </c>
      <c r="M85" t="s">
        <v>414</v>
      </c>
      <c r="N85">
        <v>1936</v>
      </c>
    </row>
    <row r="86" spans="11:14" x14ac:dyDescent="0.35">
      <c r="K86" t="s">
        <v>283</v>
      </c>
      <c r="L86" t="s">
        <v>415</v>
      </c>
      <c r="M86" t="s">
        <v>416</v>
      </c>
      <c r="N86">
        <v>2009</v>
      </c>
    </row>
    <row r="87" spans="11:14" x14ac:dyDescent="0.35">
      <c r="K87" t="s">
        <v>283</v>
      </c>
      <c r="L87" t="s">
        <v>417</v>
      </c>
      <c r="M87" t="s">
        <v>307</v>
      </c>
      <c r="N87">
        <v>2043</v>
      </c>
    </row>
    <row r="88" spans="11:14" x14ac:dyDescent="0.35">
      <c r="K88" t="s">
        <v>283</v>
      </c>
      <c r="L88" t="s">
        <v>418</v>
      </c>
      <c r="M88" t="s">
        <v>419</v>
      </c>
      <c r="N88">
        <v>2080</v>
      </c>
    </row>
    <row r="89" spans="11:14" x14ac:dyDescent="0.35">
      <c r="K89" t="s">
        <v>283</v>
      </c>
      <c r="L89" t="s">
        <v>420</v>
      </c>
      <c r="M89" t="s">
        <v>421</v>
      </c>
      <c r="N89">
        <v>2216</v>
      </c>
    </row>
    <row r="90" spans="11:14" x14ac:dyDescent="0.35">
      <c r="K90" t="s">
        <v>283</v>
      </c>
      <c r="L90" t="s">
        <v>422</v>
      </c>
      <c r="M90" t="s">
        <v>423</v>
      </c>
      <c r="N90">
        <v>2441</v>
      </c>
    </row>
    <row r="91" spans="11:14" x14ac:dyDescent="0.35">
      <c r="K91" t="s">
        <v>283</v>
      </c>
      <c r="L91" t="s">
        <v>424</v>
      </c>
      <c r="M91" t="s">
        <v>425</v>
      </c>
      <c r="N91">
        <v>2492</v>
      </c>
    </row>
    <row r="92" spans="11:14" x14ac:dyDescent="0.35">
      <c r="K92" t="s">
        <v>283</v>
      </c>
      <c r="L92" t="s">
        <v>426</v>
      </c>
      <c r="M92" t="s">
        <v>427</v>
      </c>
      <c r="N92">
        <v>2599</v>
      </c>
    </row>
    <row r="93" spans="11:14" x14ac:dyDescent="0.35">
      <c r="K93" t="s">
        <v>283</v>
      </c>
      <c r="L93" t="s">
        <v>428</v>
      </c>
      <c r="M93" t="s">
        <v>429</v>
      </c>
      <c r="N93">
        <v>2602</v>
      </c>
    </row>
    <row r="94" spans="11:14" x14ac:dyDescent="0.35">
      <c r="K94" t="s">
        <v>283</v>
      </c>
      <c r="L94" t="s">
        <v>430</v>
      </c>
      <c r="M94" t="s">
        <v>431</v>
      </c>
      <c r="N94">
        <v>2774</v>
      </c>
    </row>
    <row r="95" spans="11:14" x14ac:dyDescent="0.35">
      <c r="K95" t="s">
        <v>283</v>
      </c>
      <c r="L95" t="s">
        <v>432</v>
      </c>
      <c r="M95" t="s">
        <v>433</v>
      </c>
      <c r="N95">
        <v>2790</v>
      </c>
    </row>
    <row r="96" spans="11:14" x14ac:dyDescent="0.35">
      <c r="K96" t="s">
        <v>283</v>
      </c>
      <c r="L96" t="s">
        <v>434</v>
      </c>
      <c r="M96" t="s">
        <v>435</v>
      </c>
      <c r="N96">
        <v>3127</v>
      </c>
    </row>
    <row r="97" spans="11:14" x14ac:dyDescent="0.35">
      <c r="K97" t="s">
        <v>283</v>
      </c>
      <c r="L97" t="s">
        <v>436</v>
      </c>
      <c r="M97" t="s">
        <v>437</v>
      </c>
      <c r="N97">
        <v>3421</v>
      </c>
    </row>
    <row r="98" spans="11:14" x14ac:dyDescent="0.35">
      <c r="K98" t="s">
        <v>283</v>
      </c>
      <c r="L98" t="s">
        <v>438</v>
      </c>
      <c r="M98" t="s">
        <v>439</v>
      </c>
      <c r="N98">
        <v>3538</v>
      </c>
    </row>
    <row r="99" spans="11:14" x14ac:dyDescent="0.35">
      <c r="K99" t="s">
        <v>283</v>
      </c>
      <c r="L99" t="s">
        <v>440</v>
      </c>
      <c r="M99" t="s">
        <v>441</v>
      </c>
      <c r="N99">
        <v>3593</v>
      </c>
    </row>
    <row r="100" spans="11:14" x14ac:dyDescent="0.35">
      <c r="K100" t="s">
        <v>283</v>
      </c>
      <c r="L100" t="s">
        <v>360</v>
      </c>
      <c r="M100" t="s">
        <v>442</v>
      </c>
      <c r="N100">
        <v>3831</v>
      </c>
    </row>
    <row r="101" spans="11:14" x14ac:dyDescent="0.35">
      <c r="K101" t="s">
        <v>283</v>
      </c>
      <c r="L101" t="s">
        <v>443</v>
      </c>
      <c r="M101" t="s">
        <v>444</v>
      </c>
      <c r="N101">
        <v>3839</v>
      </c>
    </row>
    <row r="102" spans="11:14" x14ac:dyDescent="0.35">
      <c r="K102" t="s">
        <v>283</v>
      </c>
      <c r="L102" t="s">
        <v>445</v>
      </c>
      <c r="M102" t="s">
        <v>446</v>
      </c>
      <c r="N102">
        <v>3998</v>
      </c>
    </row>
    <row r="103" spans="11:14" x14ac:dyDescent="0.35">
      <c r="K103" t="s">
        <v>283</v>
      </c>
      <c r="L103" t="s">
        <v>447</v>
      </c>
      <c r="M103" t="s">
        <v>448</v>
      </c>
      <c r="N103">
        <v>4538</v>
      </c>
    </row>
    <row r="104" spans="11:14" x14ac:dyDescent="0.35">
      <c r="K104" t="s">
        <v>283</v>
      </c>
      <c r="L104" t="s">
        <v>449</v>
      </c>
      <c r="M104" t="s">
        <v>450</v>
      </c>
      <c r="N104">
        <v>5210</v>
      </c>
    </row>
    <row r="105" spans="11:14" x14ac:dyDescent="0.35">
      <c r="K105" t="s">
        <v>283</v>
      </c>
      <c r="L105" t="s">
        <v>451</v>
      </c>
      <c r="M105" t="s">
        <v>452</v>
      </c>
      <c r="N105">
        <v>5269</v>
      </c>
    </row>
    <row r="106" spans="11:14" x14ac:dyDescent="0.35">
      <c r="K106" t="s">
        <v>283</v>
      </c>
      <c r="L106" t="s">
        <v>453</v>
      </c>
      <c r="M106" t="s">
        <v>454</v>
      </c>
      <c r="N106">
        <v>6025</v>
      </c>
    </row>
  </sheetData>
  <mergeCells count="4">
    <mergeCell ref="A24:A25"/>
    <mergeCell ref="B24:B25"/>
    <mergeCell ref="C24:C25"/>
    <mergeCell ref="D24:D2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91"/>
  <sheetViews>
    <sheetView workbookViewId="0">
      <selection activeCell="E1" sqref="E1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45" t="s">
        <v>516</v>
      </c>
      <c r="B1" s="46"/>
      <c r="C1" s="46"/>
      <c r="E1" s="262"/>
      <c r="F1" s="263"/>
      <c r="G1" s="264"/>
    </row>
    <row r="2" spans="1:9" ht="15" thickBot="1" x14ac:dyDescent="0.4">
      <c r="A2" s="47"/>
      <c r="B2" s="47"/>
      <c r="C2" s="47"/>
      <c r="E2" s="265" t="s">
        <v>1217</v>
      </c>
      <c r="F2" s="266">
        <v>20</v>
      </c>
      <c r="G2" s="265" t="s">
        <v>1218</v>
      </c>
    </row>
    <row r="3" spans="1:9" ht="15" thickBot="1" x14ac:dyDescent="0.4">
      <c r="A3" s="48" t="s">
        <v>517</v>
      </c>
      <c r="B3" s="46"/>
      <c r="C3" s="46"/>
      <c r="E3" s="265"/>
      <c r="F3" s="266"/>
      <c r="G3" s="265"/>
    </row>
    <row r="4" spans="1:9" ht="15" thickBot="1" x14ac:dyDescent="0.4">
      <c r="A4" s="49" t="s">
        <v>518</v>
      </c>
      <c r="B4" s="50" t="s">
        <v>519</v>
      </c>
      <c r="C4" s="51">
        <v>0.8</v>
      </c>
      <c r="E4" s="265"/>
      <c r="F4" s="266"/>
      <c r="G4" s="265"/>
    </row>
    <row r="5" spans="1:9" ht="15" thickBot="1" x14ac:dyDescent="0.4">
      <c r="A5" s="49" t="s">
        <v>520</v>
      </c>
      <c r="B5" s="50" t="s">
        <v>521</v>
      </c>
      <c r="C5" s="51">
        <v>0.22</v>
      </c>
      <c r="E5" s="265"/>
      <c r="F5" s="266"/>
      <c r="G5" s="265"/>
    </row>
    <row r="6" spans="1:9" ht="15" thickBot="1" x14ac:dyDescent="0.4">
      <c r="A6" s="49" t="s">
        <v>522</v>
      </c>
      <c r="B6" s="50" t="s">
        <v>521</v>
      </c>
      <c r="C6" s="51">
        <v>0.03</v>
      </c>
      <c r="E6" s="264"/>
      <c r="F6" s="267"/>
      <c r="G6" s="265"/>
    </row>
    <row r="7" spans="1:9" ht="15" thickBot="1" x14ac:dyDescent="0.4">
      <c r="A7" s="48" t="s">
        <v>526</v>
      </c>
      <c r="B7" s="46"/>
      <c r="C7" s="46"/>
      <c r="E7" s="268"/>
      <c r="F7" s="269"/>
      <c r="G7" s="265"/>
    </row>
    <row r="8" spans="1:9" ht="15" thickBot="1" x14ac:dyDescent="0.4">
      <c r="A8" s="49" t="s">
        <v>523</v>
      </c>
      <c r="B8" s="50" t="s">
        <v>524</v>
      </c>
      <c r="C8" s="53" t="s">
        <v>527</v>
      </c>
      <c r="D8" t="s">
        <v>758</v>
      </c>
      <c r="E8" s="264"/>
      <c r="F8" s="267"/>
      <c r="G8" s="265"/>
      <c r="H8" s="349"/>
      <c r="I8" s="349"/>
    </row>
    <row r="9" spans="1:9" ht="15" thickBot="1" x14ac:dyDescent="0.4">
      <c r="A9" s="47"/>
      <c r="B9" s="47"/>
      <c r="C9" s="47"/>
      <c r="E9" s="264"/>
      <c r="F9" s="267"/>
      <c r="G9" s="265"/>
      <c r="I9" s="6"/>
    </row>
    <row r="10" spans="1:9" ht="15" thickBot="1" x14ac:dyDescent="0.4">
      <c r="A10" s="49" t="s">
        <v>528</v>
      </c>
      <c r="B10" s="50" t="s">
        <v>10</v>
      </c>
      <c r="C10" s="52">
        <v>25</v>
      </c>
      <c r="E10" s="264"/>
      <c r="F10" s="267"/>
      <c r="G10" s="265"/>
      <c r="H10" s="42"/>
      <c r="I10" s="71"/>
    </row>
    <row r="11" spans="1:9" ht="15" thickBot="1" x14ac:dyDescent="0.4">
      <c r="A11" s="49" t="s">
        <v>529</v>
      </c>
      <c r="B11" s="50" t="s">
        <v>10</v>
      </c>
      <c r="C11" s="52">
        <v>150</v>
      </c>
      <c r="E11" s="264"/>
      <c r="F11" s="267"/>
      <c r="G11" s="265"/>
      <c r="I11" s="6"/>
    </row>
    <row r="12" spans="1:9" ht="15" thickBot="1" x14ac:dyDescent="0.4">
      <c r="A12" s="49" t="s">
        <v>530</v>
      </c>
      <c r="B12" s="50" t="s">
        <v>10</v>
      </c>
      <c r="C12" s="52">
        <v>126</v>
      </c>
      <c r="E12" s="264"/>
      <c r="F12" s="267"/>
      <c r="G12" s="265"/>
    </row>
    <row r="13" spans="1:9" ht="15" thickBot="1" x14ac:dyDescent="0.4">
      <c r="A13" s="47" t="s">
        <v>531</v>
      </c>
      <c r="B13" s="47" t="s">
        <v>532</v>
      </c>
      <c r="C13" s="54">
        <v>5</v>
      </c>
      <c r="E13" s="265"/>
      <c r="F13" s="266"/>
      <c r="G13" s="265"/>
    </row>
    <row r="14" spans="1:9" ht="15" thickBot="1" x14ac:dyDescent="0.4">
      <c r="A14" s="47" t="s">
        <v>533</v>
      </c>
      <c r="B14" s="47" t="s">
        <v>532</v>
      </c>
      <c r="C14" s="54">
        <v>5</v>
      </c>
      <c r="E14" s="264"/>
      <c r="F14" s="267"/>
      <c r="G14" s="265"/>
    </row>
    <row r="15" spans="1:9" ht="15" thickBot="1" x14ac:dyDescent="0.4">
      <c r="A15" s="47" t="s">
        <v>534</v>
      </c>
      <c r="B15" s="47" t="s">
        <v>532</v>
      </c>
      <c r="C15" s="54">
        <v>5</v>
      </c>
      <c r="F15" s="72"/>
    </row>
    <row r="16" spans="1:9" ht="15" thickBot="1" x14ac:dyDescent="0.4">
      <c r="A16" s="47" t="s">
        <v>535</v>
      </c>
      <c r="B16" s="47" t="s">
        <v>536</v>
      </c>
      <c r="C16">
        <v>0.15</v>
      </c>
    </row>
    <row r="17" spans="1:13" ht="15" thickBot="1" x14ac:dyDescent="0.4">
      <c r="A17" s="47"/>
      <c r="B17" s="47"/>
      <c r="C17" s="47"/>
      <c r="E17" s="42"/>
      <c r="F17" s="72"/>
    </row>
    <row r="18" spans="1:13" ht="15" thickBot="1" x14ac:dyDescent="0.4">
      <c r="A18" s="47" t="s">
        <v>537</v>
      </c>
      <c r="B18" s="47" t="s">
        <v>538</v>
      </c>
      <c r="C18" s="54">
        <v>25</v>
      </c>
      <c r="E18" s="125" t="s">
        <v>660</v>
      </c>
      <c r="F18" s="126"/>
      <c r="G18" s="127"/>
    </row>
    <row r="19" spans="1:13" ht="15" thickBot="1" x14ac:dyDescent="0.4">
      <c r="A19" s="47"/>
      <c r="B19" s="47"/>
      <c r="C19" s="47"/>
      <c r="E19" s="130" t="s">
        <v>755</v>
      </c>
      <c r="F19" s="131" t="s">
        <v>233</v>
      </c>
      <c r="G19" s="134">
        <v>0.8</v>
      </c>
    </row>
    <row r="20" spans="1:13" ht="15" thickBot="1" x14ac:dyDescent="0.4">
      <c r="A20" s="45" t="s">
        <v>539</v>
      </c>
      <c r="B20" s="46"/>
      <c r="C20" s="46"/>
      <c r="E20" s="130" t="s">
        <v>756</v>
      </c>
      <c r="F20" s="131" t="s">
        <v>233</v>
      </c>
      <c r="G20" s="134">
        <v>0.2</v>
      </c>
    </row>
    <row r="21" spans="1:13" ht="15" thickBot="1" x14ac:dyDescent="0.4">
      <c r="A21" s="49" t="s">
        <v>540</v>
      </c>
      <c r="B21" s="50" t="s">
        <v>10</v>
      </c>
      <c r="C21" s="52">
        <v>330</v>
      </c>
      <c r="E21" s="130" t="s">
        <v>757</v>
      </c>
      <c r="F21" s="131" t="s">
        <v>233</v>
      </c>
      <c r="G21" s="134">
        <v>0.8</v>
      </c>
      <c r="H21" s="349"/>
      <c r="I21" s="349"/>
      <c r="K21" s="73"/>
      <c r="L21" s="73"/>
      <c r="M21" s="73"/>
    </row>
    <row r="22" spans="1:13" ht="15" thickBot="1" x14ac:dyDescent="0.4">
      <c r="A22" s="56" t="s">
        <v>541</v>
      </c>
      <c r="B22" s="47"/>
      <c r="C22" s="47"/>
      <c r="E22" s="130"/>
      <c r="F22" s="131"/>
      <c r="G22" s="135"/>
      <c r="H22" s="42"/>
      <c r="I22" s="42"/>
      <c r="K22" s="74"/>
      <c r="L22" s="75"/>
      <c r="M22" s="75"/>
    </row>
    <row r="23" spans="1:13" ht="15" thickBot="1" x14ac:dyDescent="0.4">
      <c r="A23" s="56" t="s">
        <v>542</v>
      </c>
      <c r="B23" s="47" t="s">
        <v>532</v>
      </c>
      <c r="C23" s="47">
        <v>150</v>
      </c>
      <c r="F23" s="43"/>
      <c r="H23" s="76"/>
      <c r="I23" s="43"/>
      <c r="K23" s="74"/>
      <c r="L23" s="75"/>
      <c r="M23" s="75"/>
    </row>
    <row r="24" spans="1:13" ht="15" thickBot="1" x14ac:dyDescent="0.4">
      <c r="A24" s="49" t="s">
        <v>543</v>
      </c>
      <c r="B24" s="50" t="s">
        <v>544</v>
      </c>
      <c r="C24" s="52"/>
      <c r="E24" s="42"/>
      <c r="F24" s="43"/>
      <c r="G24" s="71"/>
      <c r="H24" s="42"/>
      <c r="I24" s="43"/>
      <c r="J24" s="71"/>
      <c r="K24" s="74"/>
      <c r="L24" s="75"/>
      <c r="M24" s="75"/>
    </row>
    <row r="25" spans="1:13" ht="25" thickBot="1" x14ac:dyDescent="0.4">
      <c r="A25" s="49" t="s">
        <v>545</v>
      </c>
      <c r="B25" s="50" t="s">
        <v>546</v>
      </c>
      <c r="C25" s="52"/>
      <c r="E25" s="42"/>
      <c r="F25" s="43"/>
      <c r="G25" s="71"/>
      <c r="H25" s="42"/>
      <c r="I25" s="43"/>
      <c r="J25" s="71"/>
      <c r="K25" s="74"/>
      <c r="L25" s="75"/>
    </row>
    <row r="26" spans="1:13" ht="15" thickBot="1" x14ac:dyDescent="0.4">
      <c r="A26" s="47" t="s">
        <v>547</v>
      </c>
      <c r="B26" s="47" t="s">
        <v>548</v>
      </c>
      <c r="C26" s="57">
        <v>1174</v>
      </c>
      <c r="E26" s="35"/>
      <c r="F26" s="44"/>
      <c r="H26" s="35"/>
      <c r="I26" s="44"/>
      <c r="K26" s="74"/>
      <c r="L26" s="75"/>
    </row>
    <row r="27" spans="1:13" ht="15" thickBot="1" x14ac:dyDescent="0.4">
      <c r="A27" s="47"/>
      <c r="B27" s="47"/>
      <c r="C27" s="47"/>
      <c r="K27" s="74"/>
      <c r="L27" s="75"/>
    </row>
    <row r="28" spans="1:13" ht="15" thickBot="1" x14ac:dyDescent="0.4">
      <c r="A28" s="58" t="s">
        <v>549</v>
      </c>
      <c r="B28" s="47"/>
      <c r="C28" s="47"/>
    </row>
    <row r="29" spans="1:13" ht="15" thickBot="1" x14ac:dyDescent="0.4">
      <c r="A29" s="5" t="s">
        <v>23</v>
      </c>
      <c r="B29" s="59" t="s">
        <v>550</v>
      </c>
      <c r="C29">
        <v>29</v>
      </c>
    </row>
    <row r="30" spans="1:13" ht="15" thickBot="1" x14ac:dyDescent="0.4">
      <c r="A30" s="5" t="s">
        <v>24</v>
      </c>
      <c r="B30" s="59" t="s">
        <v>550</v>
      </c>
      <c r="C30">
        <v>27.63</v>
      </c>
      <c r="E30" s="5"/>
    </row>
    <row r="31" spans="1:13" ht="15" thickBot="1" x14ac:dyDescent="0.4">
      <c r="A31" s="5" t="s">
        <v>25</v>
      </c>
      <c r="B31" s="59" t="s">
        <v>550</v>
      </c>
      <c r="C31">
        <v>19.34</v>
      </c>
      <c r="E31" s="5"/>
    </row>
    <row r="32" spans="1:13" ht="15" thickBot="1" x14ac:dyDescent="0.4">
      <c r="A32" s="5" t="s">
        <v>26</v>
      </c>
      <c r="B32" s="59" t="s">
        <v>550</v>
      </c>
      <c r="C32">
        <v>24.04</v>
      </c>
      <c r="E32" s="5"/>
    </row>
    <row r="33" spans="1:16" ht="15" thickBot="1" x14ac:dyDescent="0.4">
      <c r="A33" s="58" t="s">
        <v>551</v>
      </c>
      <c r="B33" s="59"/>
      <c r="C33" s="47">
        <f>SUM(C29:C32)</f>
        <v>100.00999999999999</v>
      </c>
      <c r="E33" s="76"/>
      <c r="F33" s="43"/>
      <c r="H33" s="41"/>
      <c r="I33" s="43"/>
    </row>
    <row r="34" spans="1:16" ht="15" thickBot="1" x14ac:dyDescent="0.4">
      <c r="A34" s="47"/>
      <c r="B34" s="47"/>
      <c r="C34" s="47"/>
      <c r="E34" s="42"/>
      <c r="F34" s="43"/>
      <c r="H34" s="42"/>
      <c r="I34" s="43"/>
      <c r="J34" s="71"/>
    </row>
    <row r="35" spans="1:16" ht="15" thickBot="1" x14ac:dyDescent="0.4">
      <c r="A35" s="60" t="s">
        <v>552</v>
      </c>
      <c r="B35" s="47"/>
      <c r="C35" s="47"/>
      <c r="E35" s="42"/>
      <c r="F35" s="43"/>
      <c r="G35" s="77"/>
      <c r="H35" s="42"/>
      <c r="I35" s="43"/>
      <c r="J35" s="71"/>
    </row>
    <row r="36" spans="1:16" ht="15" thickBot="1" x14ac:dyDescent="0.4">
      <c r="A36" s="49" t="s">
        <v>553</v>
      </c>
      <c r="B36" s="59" t="s">
        <v>536</v>
      </c>
      <c r="C36" s="61">
        <v>0.95</v>
      </c>
      <c r="E36" s="35"/>
      <c r="F36" s="44"/>
      <c r="H36" s="35"/>
      <c r="I36" s="44"/>
    </row>
    <row r="37" spans="1:16" ht="15" thickBot="1" x14ac:dyDescent="0.4">
      <c r="A37" s="49" t="s">
        <v>554</v>
      </c>
      <c r="B37" s="59" t="s">
        <v>536</v>
      </c>
      <c r="C37" s="61">
        <v>0</v>
      </c>
    </row>
    <row r="38" spans="1:16" ht="15" thickBot="1" x14ac:dyDescent="0.4">
      <c r="A38" s="62" t="s">
        <v>555</v>
      </c>
      <c r="B38" s="63" t="s">
        <v>536</v>
      </c>
      <c r="C38" s="64">
        <v>0</v>
      </c>
    </row>
    <row r="39" spans="1:16" ht="15" thickBot="1" x14ac:dyDescent="0.4">
      <c r="A39" s="62" t="s">
        <v>556</v>
      </c>
      <c r="B39" s="63" t="s">
        <v>536</v>
      </c>
      <c r="C39" s="61">
        <v>0.05</v>
      </c>
    </row>
    <row r="40" spans="1:16" ht="15" thickBot="1" x14ac:dyDescent="0.4">
      <c r="A40" s="47"/>
      <c r="B40" s="47"/>
      <c r="C40" s="47"/>
    </row>
    <row r="41" spans="1:16" ht="15" thickBot="1" x14ac:dyDescent="0.4">
      <c r="A41" s="58" t="s">
        <v>557</v>
      </c>
      <c r="B41" s="47"/>
      <c r="C41" s="47"/>
      <c r="D41" s="78"/>
    </row>
    <row r="42" spans="1:16" ht="15" thickBot="1" x14ac:dyDescent="0.4">
      <c r="A42" s="49" t="s">
        <v>23</v>
      </c>
      <c r="B42" s="50" t="s">
        <v>558</v>
      </c>
      <c r="C42" s="52">
        <v>31.184999999999999</v>
      </c>
      <c r="D42" s="1"/>
    </row>
    <row r="43" spans="1:16" ht="15" thickBot="1" x14ac:dyDescent="0.4">
      <c r="A43" s="49" t="s">
        <v>559</v>
      </c>
      <c r="B43" s="50" t="s">
        <v>558</v>
      </c>
      <c r="C43" s="52">
        <v>28.11</v>
      </c>
    </row>
    <row r="44" spans="1:16" ht="15" thickBot="1" x14ac:dyDescent="0.4">
      <c r="A44" s="49" t="s">
        <v>560</v>
      </c>
      <c r="B44" s="50" t="s">
        <v>558</v>
      </c>
      <c r="C44" s="52">
        <v>3.6</v>
      </c>
      <c r="D44" s="36"/>
      <c r="E44" s="37"/>
      <c r="F44" s="37"/>
      <c r="G44" s="37"/>
      <c r="H44" s="37"/>
      <c r="P44" s="35"/>
    </row>
    <row r="45" spans="1:16" ht="15" thickBot="1" x14ac:dyDescent="0.4">
      <c r="A45" s="47"/>
      <c r="B45" s="47"/>
      <c r="C45" s="47"/>
      <c r="D45" s="36"/>
      <c r="E45" s="37"/>
      <c r="F45" s="37"/>
      <c r="G45" s="37"/>
      <c r="H45" s="37"/>
      <c r="P45" s="35"/>
    </row>
    <row r="46" spans="1:16" ht="15" thickBot="1" x14ac:dyDescent="0.4">
      <c r="A46" s="45" t="s">
        <v>561</v>
      </c>
      <c r="B46" s="46"/>
      <c r="C46" s="46"/>
      <c r="D46" s="36"/>
      <c r="E46" s="37"/>
      <c r="F46" s="37"/>
      <c r="G46" s="37"/>
      <c r="H46" s="37"/>
      <c r="P46" s="35"/>
    </row>
    <row r="47" spans="1:16" ht="15" thickBot="1" x14ac:dyDescent="0.4">
      <c r="A47" s="47" t="s">
        <v>530</v>
      </c>
      <c r="B47" s="47" t="s">
        <v>10</v>
      </c>
      <c r="C47" s="54">
        <v>117</v>
      </c>
      <c r="D47" s="38"/>
      <c r="E47" s="37"/>
      <c r="F47" s="37"/>
      <c r="G47" s="37"/>
      <c r="H47" s="37"/>
      <c r="P47" s="35"/>
    </row>
    <row r="48" spans="1:16" ht="15" thickBot="1" x14ac:dyDescent="0.4">
      <c r="A48" s="47" t="s">
        <v>534</v>
      </c>
      <c r="B48" s="47" t="s">
        <v>532</v>
      </c>
      <c r="C48" s="54">
        <v>1</v>
      </c>
      <c r="P48" s="35"/>
    </row>
    <row r="49" spans="1:16" ht="15" thickBot="1" x14ac:dyDescent="0.4">
      <c r="A49" s="47"/>
      <c r="B49" s="47"/>
      <c r="C49" s="47"/>
      <c r="D49" s="36"/>
      <c r="P49" s="35"/>
    </row>
    <row r="50" spans="1:16" ht="15" thickBot="1" x14ac:dyDescent="0.4">
      <c r="A50" s="45" t="s">
        <v>562</v>
      </c>
      <c r="B50" s="46"/>
      <c r="C50" s="46"/>
      <c r="D50" s="39"/>
      <c r="F50" s="40"/>
      <c r="G50" s="40"/>
      <c r="P50" s="35"/>
    </row>
    <row r="51" spans="1:16" ht="15" thickBot="1" x14ac:dyDescent="0.4">
      <c r="A51" s="47" t="s">
        <v>563</v>
      </c>
      <c r="B51" s="59" t="s">
        <v>536</v>
      </c>
      <c r="C51" s="51">
        <v>1</v>
      </c>
      <c r="P51" s="35"/>
    </row>
    <row r="52" spans="1:16" ht="15" thickBot="1" x14ac:dyDescent="0.4">
      <c r="A52" s="47"/>
      <c r="B52" s="47"/>
      <c r="C52" s="47"/>
      <c r="P52" s="35"/>
    </row>
    <row r="53" spans="1:16" ht="15" thickBot="1" x14ac:dyDescent="0.4">
      <c r="A53" s="45" t="s">
        <v>564</v>
      </c>
      <c r="B53" s="46"/>
      <c r="C53" s="46"/>
    </row>
    <row r="54" spans="1:16" ht="15" thickBot="1" x14ac:dyDescent="0.4">
      <c r="A54" s="47" t="s">
        <v>565</v>
      </c>
      <c r="B54" s="59" t="s">
        <v>536</v>
      </c>
      <c r="C54" s="65">
        <v>1</v>
      </c>
    </row>
    <row r="55" spans="1:16" ht="15" thickBot="1" x14ac:dyDescent="0.4">
      <c r="A55" s="49" t="s">
        <v>566</v>
      </c>
      <c r="B55" s="50" t="s">
        <v>233</v>
      </c>
      <c r="C55" s="51">
        <v>0.2</v>
      </c>
    </row>
    <row r="56" spans="1:16" ht="15" thickBot="1" x14ac:dyDescent="0.4">
      <c r="A56" s="66" t="s">
        <v>567</v>
      </c>
      <c r="B56" s="47"/>
      <c r="C56" s="47"/>
    </row>
    <row r="57" spans="1:16" ht="15" thickBot="1" x14ac:dyDescent="0.4">
      <c r="A57" s="49" t="s">
        <v>116</v>
      </c>
      <c r="B57" s="59" t="s">
        <v>568</v>
      </c>
      <c r="C57" s="52" t="s">
        <v>569</v>
      </c>
    </row>
    <row r="58" spans="1:16" ht="15" thickBot="1" x14ac:dyDescent="0.4">
      <c r="A58" s="49" t="s">
        <v>570</v>
      </c>
      <c r="B58" s="59" t="s">
        <v>568</v>
      </c>
      <c r="C58" s="52" t="s">
        <v>571</v>
      </c>
    </row>
    <row r="59" spans="1:16" ht="15" thickBot="1" x14ac:dyDescent="0.4">
      <c r="A59" s="49" t="s">
        <v>118</v>
      </c>
      <c r="B59" s="59" t="s">
        <v>568</v>
      </c>
      <c r="C59" s="52" t="s">
        <v>572</v>
      </c>
    </row>
    <row r="60" spans="1:16" ht="15" thickBot="1" x14ac:dyDescent="0.4">
      <c r="A60" s="49" t="s">
        <v>117</v>
      </c>
      <c r="B60" s="59" t="s">
        <v>568</v>
      </c>
      <c r="C60" s="52" t="s">
        <v>573</v>
      </c>
    </row>
    <row r="61" spans="1:16" ht="15" thickBot="1" x14ac:dyDescent="0.4">
      <c r="A61" s="49" t="s">
        <v>574</v>
      </c>
      <c r="B61" s="59" t="s">
        <v>568</v>
      </c>
      <c r="C61" s="52" t="s">
        <v>575</v>
      </c>
    </row>
    <row r="62" spans="1:16" ht="15" thickBot="1" x14ac:dyDescent="0.4">
      <c r="A62" s="49" t="s">
        <v>576</v>
      </c>
      <c r="B62" s="59" t="s">
        <v>568</v>
      </c>
      <c r="C62" s="52" t="s">
        <v>577</v>
      </c>
    </row>
    <row r="63" spans="1:16" ht="15" thickBot="1" x14ac:dyDescent="0.4">
      <c r="A63" s="49" t="s">
        <v>208</v>
      </c>
      <c r="B63" s="59" t="s">
        <v>568</v>
      </c>
      <c r="C63" s="52" t="s">
        <v>578</v>
      </c>
    </row>
    <row r="64" spans="1:16" ht="15" thickBot="1" x14ac:dyDescent="0.4">
      <c r="A64" s="66" t="s">
        <v>579</v>
      </c>
      <c r="B64" s="59" t="s">
        <v>568</v>
      </c>
      <c r="C64" s="47" t="s">
        <v>580</v>
      </c>
    </row>
    <row r="65" spans="1:4" ht="15" thickBot="1" x14ac:dyDescent="0.4">
      <c r="A65" s="66"/>
      <c r="B65" s="47"/>
      <c r="C65" s="47"/>
    </row>
    <row r="66" spans="1:4" ht="15" thickBot="1" x14ac:dyDescent="0.4">
      <c r="A66" s="66"/>
      <c r="B66" s="47"/>
      <c r="C66" s="47"/>
    </row>
    <row r="67" spans="1:4" ht="15" thickBot="1" x14ac:dyDescent="0.4">
      <c r="A67" s="66" t="s">
        <v>581</v>
      </c>
      <c r="B67" s="47"/>
      <c r="C67" s="47"/>
      <c r="D67" s="79"/>
    </row>
    <row r="68" spans="1:4" ht="15" thickBot="1" x14ac:dyDescent="0.4">
      <c r="A68" s="49" t="s">
        <v>116</v>
      </c>
      <c r="B68" s="59" t="s">
        <v>568</v>
      </c>
      <c r="C68" s="52" t="s">
        <v>582</v>
      </c>
      <c r="D68" s="79"/>
    </row>
    <row r="69" spans="1:4" ht="15" thickBot="1" x14ac:dyDescent="0.4">
      <c r="A69" s="49" t="s">
        <v>570</v>
      </c>
      <c r="B69" s="59" t="s">
        <v>568</v>
      </c>
      <c r="C69" s="52" t="s">
        <v>571</v>
      </c>
      <c r="D69" s="79"/>
    </row>
    <row r="70" spans="1:4" ht="15" thickBot="1" x14ac:dyDescent="0.4">
      <c r="A70" s="49" t="s">
        <v>118</v>
      </c>
      <c r="B70" s="59" t="s">
        <v>568</v>
      </c>
      <c r="C70" s="52" t="s">
        <v>583</v>
      </c>
      <c r="D70" s="80"/>
    </row>
    <row r="71" spans="1:4" ht="15" thickBot="1" x14ac:dyDescent="0.4">
      <c r="A71" s="49" t="s">
        <v>117</v>
      </c>
      <c r="B71" s="59" t="s">
        <v>568</v>
      </c>
      <c r="C71" s="52" t="s">
        <v>571</v>
      </c>
      <c r="D71" s="80"/>
    </row>
    <row r="72" spans="1:4" ht="15" thickBot="1" x14ac:dyDescent="0.4">
      <c r="A72" s="49" t="s">
        <v>574</v>
      </c>
      <c r="B72" s="59" t="s">
        <v>568</v>
      </c>
      <c r="C72" s="52" t="s">
        <v>584</v>
      </c>
      <c r="D72" s="80"/>
    </row>
    <row r="73" spans="1:4" ht="15" thickBot="1" x14ac:dyDescent="0.4">
      <c r="A73" s="49" t="s">
        <v>576</v>
      </c>
      <c r="B73" s="59" t="s">
        <v>568</v>
      </c>
      <c r="C73" s="52" t="s">
        <v>577</v>
      </c>
      <c r="D73" s="79"/>
    </row>
    <row r="74" spans="1:4" ht="15" thickBot="1" x14ac:dyDescent="0.4">
      <c r="A74" s="49" t="s">
        <v>208</v>
      </c>
      <c r="B74" s="59" t="s">
        <v>568</v>
      </c>
      <c r="C74" s="52" t="s">
        <v>585</v>
      </c>
      <c r="D74" s="79"/>
    </row>
    <row r="75" spans="1:4" ht="15" thickBot="1" x14ac:dyDescent="0.4">
      <c r="A75" s="66" t="s">
        <v>579</v>
      </c>
      <c r="B75" s="59" t="s">
        <v>568</v>
      </c>
      <c r="C75" s="67" t="s">
        <v>580</v>
      </c>
      <c r="D75" s="81"/>
    </row>
    <row r="76" spans="1:4" ht="15" thickBot="1" x14ac:dyDescent="0.4">
      <c r="A76" s="47"/>
      <c r="B76" s="47"/>
      <c r="C76" s="47"/>
      <c r="D76" s="79"/>
    </row>
    <row r="77" spans="1:4" ht="15" thickBot="1" x14ac:dyDescent="0.4">
      <c r="A77" s="68" t="s">
        <v>586</v>
      </c>
      <c r="B77" s="47"/>
      <c r="C77" s="69" t="s">
        <v>587</v>
      </c>
      <c r="D77" s="79"/>
    </row>
    <row r="78" spans="1:4" ht="15" thickBot="1" x14ac:dyDescent="0.4">
      <c r="A78" s="47"/>
      <c r="B78" s="47"/>
      <c r="C78" s="47"/>
      <c r="D78" s="79"/>
    </row>
    <row r="79" spans="1:4" ht="15" thickBot="1" x14ac:dyDescent="0.4">
      <c r="A79" s="45" t="s">
        <v>588</v>
      </c>
      <c r="B79" s="46"/>
      <c r="C79" s="46"/>
      <c r="D79" s="79"/>
    </row>
    <row r="80" spans="1:4" ht="26.5" thickBot="1" x14ac:dyDescent="0.4">
      <c r="A80" s="66" t="s">
        <v>589</v>
      </c>
      <c r="B80" s="47" t="s">
        <v>590</v>
      </c>
      <c r="C80" s="47"/>
      <c r="D80" s="82"/>
    </row>
    <row r="81" spans="1:4" ht="15" thickBot="1" x14ac:dyDescent="0.4">
      <c r="A81" s="47" t="s">
        <v>511</v>
      </c>
      <c r="B81" s="59" t="s">
        <v>536</v>
      </c>
      <c r="C81" s="51">
        <v>0.95</v>
      </c>
      <c r="D81" s="79"/>
    </row>
    <row r="82" spans="1:4" ht="15" thickBot="1" x14ac:dyDescent="0.4">
      <c r="A82" s="47" t="s">
        <v>512</v>
      </c>
      <c r="B82" s="59" t="s">
        <v>536</v>
      </c>
      <c r="C82" s="51">
        <v>0.05</v>
      </c>
      <c r="D82" s="81"/>
    </row>
    <row r="83" spans="1:4" ht="15" thickBot="1" x14ac:dyDescent="0.4">
      <c r="A83" s="47" t="s">
        <v>508</v>
      </c>
      <c r="B83" s="59" t="s">
        <v>536</v>
      </c>
      <c r="C83" s="52" t="s">
        <v>571</v>
      </c>
      <c r="D83" s="81"/>
    </row>
    <row r="84" spans="1:4" ht="15" thickBot="1" x14ac:dyDescent="0.4">
      <c r="A84" s="66" t="s">
        <v>591</v>
      </c>
      <c r="B84" s="59" t="s">
        <v>536</v>
      </c>
      <c r="C84" s="67" t="s">
        <v>580</v>
      </c>
      <c r="D84" s="81"/>
    </row>
    <row r="85" spans="1:4" ht="15" thickBot="1" x14ac:dyDescent="0.4">
      <c r="A85" s="47"/>
      <c r="B85" s="47"/>
      <c r="C85" s="47"/>
      <c r="D85" s="83"/>
    </row>
    <row r="86" spans="1:4" ht="15" thickBot="1" x14ac:dyDescent="0.4">
      <c r="A86" s="45" t="s">
        <v>592</v>
      </c>
      <c r="B86" s="46"/>
      <c r="C86" s="46"/>
      <c r="D86" s="83"/>
    </row>
    <row r="87" spans="1:4" ht="15" thickBot="1" x14ac:dyDescent="0.4">
      <c r="A87" s="47" t="s">
        <v>593</v>
      </c>
      <c r="B87" s="59" t="s">
        <v>536</v>
      </c>
      <c r="C87" s="51">
        <v>0.25</v>
      </c>
      <c r="D87" s="83"/>
    </row>
    <row r="88" spans="1:4" ht="15" thickBot="1" x14ac:dyDescent="0.4">
      <c r="A88" s="45" t="s">
        <v>594</v>
      </c>
      <c r="B88" s="46"/>
      <c r="C88" s="46"/>
      <c r="D88" s="84"/>
    </row>
    <row r="89" spans="1:4" ht="15" thickBot="1" x14ac:dyDescent="0.4">
      <c r="A89" s="49" t="s">
        <v>595</v>
      </c>
      <c r="B89" s="50" t="s">
        <v>10</v>
      </c>
      <c r="C89" s="70">
        <v>375</v>
      </c>
      <c r="D89" s="79"/>
    </row>
    <row r="90" spans="1:4" ht="15" thickBot="1" x14ac:dyDescent="0.4">
      <c r="A90" s="47" t="s">
        <v>596</v>
      </c>
      <c r="B90" s="47" t="s">
        <v>532</v>
      </c>
      <c r="C90" s="70">
        <v>106</v>
      </c>
      <c r="D90" s="83"/>
    </row>
    <row r="91" spans="1:4" ht="15" thickBot="1" x14ac:dyDescent="0.4">
      <c r="A91" s="47"/>
      <c r="B91" s="47"/>
      <c r="C91" s="47"/>
      <c r="D91" s="79"/>
    </row>
    <row r="92" spans="1:4" ht="15" thickBot="1" x14ac:dyDescent="0.4">
      <c r="A92" s="47" t="s">
        <v>597</v>
      </c>
      <c r="B92" s="47" t="s">
        <v>536</v>
      </c>
      <c r="C92" s="52" t="s">
        <v>598</v>
      </c>
      <c r="D92" s="79"/>
    </row>
    <row r="93" spans="1:4" ht="15" thickBot="1" x14ac:dyDescent="0.4">
      <c r="A93" s="47"/>
      <c r="B93" s="47"/>
      <c r="C93" s="47"/>
      <c r="D93" s="81"/>
    </row>
    <row r="94" spans="1:4" ht="15" thickBot="1" x14ac:dyDescent="0.4">
      <c r="A94" s="48" t="s">
        <v>599</v>
      </c>
      <c r="B94" s="46"/>
      <c r="C94" s="46"/>
      <c r="D94" s="79"/>
    </row>
    <row r="95" spans="1:4" ht="15" thickBot="1" x14ac:dyDescent="0.4">
      <c r="A95" s="49" t="s">
        <v>600</v>
      </c>
      <c r="B95" s="50" t="s">
        <v>10</v>
      </c>
      <c r="C95" s="70">
        <v>400</v>
      </c>
      <c r="D95" s="79"/>
    </row>
    <row r="96" spans="1:4" ht="15" thickBot="1" x14ac:dyDescent="0.4">
      <c r="A96" s="47" t="s">
        <v>601</v>
      </c>
      <c r="B96" s="47" t="s">
        <v>532</v>
      </c>
      <c r="C96" s="70">
        <v>106</v>
      </c>
      <c r="D96" s="81"/>
    </row>
    <row r="97" spans="1:4" ht="15" thickBot="1" x14ac:dyDescent="0.4">
      <c r="A97" s="47"/>
      <c r="B97" s="47"/>
      <c r="C97" s="47"/>
      <c r="D97" s="81"/>
    </row>
    <row r="98" spans="1:4" ht="26.5" thickBot="1" x14ac:dyDescent="0.4">
      <c r="A98" s="47" t="s">
        <v>545</v>
      </c>
      <c r="B98" s="47" t="s">
        <v>546</v>
      </c>
      <c r="C98" s="52" t="s">
        <v>602</v>
      </c>
      <c r="D98" s="85"/>
    </row>
    <row r="99" spans="1:4" ht="15" thickBot="1" x14ac:dyDescent="0.4">
      <c r="A99" s="49"/>
      <c r="B99" s="50"/>
      <c r="C99" s="47"/>
      <c r="D99" s="79"/>
    </row>
    <row r="100" spans="1:4" ht="15" thickBot="1" x14ac:dyDescent="0.4">
      <c r="A100" s="49" t="s">
        <v>603</v>
      </c>
      <c r="B100" s="50" t="s">
        <v>536</v>
      </c>
      <c r="C100" s="51">
        <v>0.01</v>
      </c>
      <c r="D100" s="79"/>
    </row>
    <row r="101" spans="1:4" ht="15" thickBot="1" x14ac:dyDescent="0.4">
      <c r="A101" s="47"/>
      <c r="B101" s="47"/>
      <c r="C101" s="70"/>
      <c r="D101" s="81"/>
    </row>
    <row r="102" spans="1:4" ht="15" thickBot="1" x14ac:dyDescent="0.4">
      <c r="A102" s="47"/>
      <c r="B102" s="47"/>
      <c r="C102" s="47"/>
      <c r="D102" s="81"/>
    </row>
    <row r="103" spans="1:4" ht="15" thickBot="1" x14ac:dyDescent="0.4">
      <c r="A103" s="49" t="s">
        <v>604</v>
      </c>
      <c r="B103" s="50" t="s">
        <v>536</v>
      </c>
      <c r="C103" s="51">
        <v>0.53</v>
      </c>
      <c r="D103" s="81"/>
    </row>
    <row r="104" spans="1:4" ht="15" thickBot="1" x14ac:dyDescent="0.4">
      <c r="A104" s="47"/>
      <c r="B104" s="47"/>
      <c r="C104" s="47"/>
      <c r="D104" s="81"/>
    </row>
    <row r="105" spans="1:4" ht="15" thickBot="1" x14ac:dyDescent="0.4">
      <c r="A105" s="45" t="s">
        <v>605</v>
      </c>
      <c r="B105" s="46"/>
      <c r="C105" s="46"/>
      <c r="D105" s="81"/>
    </row>
    <row r="106" spans="1:4" ht="15" thickBot="1" x14ac:dyDescent="0.4">
      <c r="A106" s="47"/>
      <c r="B106" s="47"/>
      <c r="C106" s="47"/>
      <c r="D106" s="79"/>
    </row>
    <row r="107" spans="1:4" ht="15" thickBot="1" x14ac:dyDescent="0.4">
      <c r="A107" s="48" t="s">
        <v>606</v>
      </c>
      <c r="B107" s="46"/>
      <c r="C107" s="46"/>
      <c r="D107" s="79"/>
    </row>
    <row r="108" spans="1:4" ht="15" thickBot="1" x14ac:dyDescent="0.4">
      <c r="A108" s="47" t="s">
        <v>607</v>
      </c>
      <c r="B108" s="47" t="s">
        <v>536</v>
      </c>
      <c r="C108" s="51">
        <v>1</v>
      </c>
      <c r="D108" s="79"/>
    </row>
    <row r="109" spans="1:4" ht="15" thickBot="1" x14ac:dyDescent="0.4">
      <c r="A109" s="47"/>
      <c r="B109" s="47"/>
      <c r="C109" s="47"/>
      <c r="D109" s="86"/>
    </row>
    <row r="110" spans="1:4" ht="15" thickBot="1" x14ac:dyDescent="0.4">
      <c r="A110" s="58" t="s">
        <v>608</v>
      </c>
      <c r="B110" s="47"/>
      <c r="C110" s="47"/>
      <c r="D110" s="86"/>
    </row>
    <row r="111" spans="1:4" ht="15" thickBot="1" x14ac:dyDescent="0.4">
      <c r="A111" s="49" t="s">
        <v>609</v>
      </c>
      <c r="B111" s="50" t="s">
        <v>536</v>
      </c>
      <c r="C111" s="51">
        <v>1</v>
      </c>
      <c r="D111" s="87"/>
    </row>
    <row r="112" spans="1:4" ht="15" thickBot="1" x14ac:dyDescent="0.4">
      <c r="A112" s="47" t="s">
        <v>610</v>
      </c>
      <c r="B112" s="47" t="s">
        <v>536</v>
      </c>
      <c r="C112" s="51">
        <v>0.04</v>
      </c>
      <c r="D112" s="86"/>
    </row>
    <row r="113" spans="1:4" ht="15" thickBot="1" x14ac:dyDescent="0.4">
      <c r="A113" s="47"/>
      <c r="B113" s="47"/>
      <c r="C113" s="47"/>
      <c r="D113" s="79"/>
    </row>
    <row r="114" spans="1:4" ht="15" thickBot="1" x14ac:dyDescent="0.4">
      <c r="A114" s="47" t="s">
        <v>611</v>
      </c>
      <c r="B114" s="47" t="s">
        <v>536</v>
      </c>
      <c r="C114" s="51">
        <v>0.2</v>
      </c>
      <c r="D114" s="79"/>
    </row>
    <row r="115" spans="1:4" ht="15" thickBot="1" x14ac:dyDescent="0.4">
      <c r="A115" s="45" t="s">
        <v>612</v>
      </c>
      <c r="B115" s="46"/>
      <c r="C115" s="46"/>
      <c r="D115" s="81"/>
    </row>
    <row r="116" spans="1:4" ht="15" thickBot="1" x14ac:dyDescent="0.4">
      <c r="A116" s="47" t="s">
        <v>613</v>
      </c>
      <c r="B116" s="47" t="s">
        <v>536</v>
      </c>
      <c r="C116" s="51">
        <v>0.85</v>
      </c>
      <c r="D116" s="81"/>
    </row>
    <row r="117" spans="1:4" ht="15" thickBot="1" x14ac:dyDescent="0.4">
      <c r="A117" s="49" t="s">
        <v>614</v>
      </c>
      <c r="B117" s="50" t="s">
        <v>233</v>
      </c>
      <c r="C117" s="52" t="s">
        <v>525</v>
      </c>
      <c r="D117" s="81"/>
    </row>
    <row r="118" spans="1:4" ht="15" thickBot="1" x14ac:dyDescent="0.4">
      <c r="A118" s="46"/>
      <c r="B118" s="46"/>
      <c r="C118" s="46"/>
      <c r="D118" s="79"/>
    </row>
    <row r="119" spans="1:4" ht="15" thickBot="1" x14ac:dyDescent="0.4">
      <c r="B119" s="92"/>
      <c r="C119" s="79"/>
      <c r="D119" s="79"/>
    </row>
    <row r="120" spans="1:4" ht="15" thickBot="1" x14ac:dyDescent="0.4">
      <c r="B120" s="79"/>
      <c r="C120" s="79"/>
      <c r="D120" s="83"/>
    </row>
    <row r="121" spans="1:4" ht="15" thickBot="1" x14ac:dyDescent="0.4">
      <c r="B121" s="79"/>
      <c r="C121" s="79"/>
      <c r="D121" s="83"/>
    </row>
    <row r="122" spans="1:4" ht="15" thickBot="1" x14ac:dyDescent="0.4">
      <c r="B122" s="79"/>
      <c r="C122" s="79"/>
      <c r="D122" s="79"/>
    </row>
    <row r="123" spans="1:4" ht="15" thickBot="1" x14ac:dyDescent="0.4">
      <c r="B123" s="92"/>
      <c r="C123" s="79"/>
      <c r="D123" s="79"/>
    </row>
    <row r="124" spans="1:4" ht="15" thickBot="1" x14ac:dyDescent="0.4">
      <c r="B124" s="79"/>
      <c r="C124" s="93"/>
      <c r="D124" s="80"/>
    </row>
    <row r="125" spans="1:4" ht="15" thickBot="1" x14ac:dyDescent="0.4">
      <c r="B125" s="79"/>
      <c r="C125" s="79"/>
      <c r="D125" s="79"/>
    </row>
    <row r="126" spans="1:4" ht="15" thickBot="1" x14ac:dyDescent="0.4">
      <c r="B126" s="92"/>
      <c r="C126" s="79"/>
      <c r="D126" s="79"/>
    </row>
    <row r="127" spans="1:4" ht="15" thickBot="1" x14ac:dyDescent="0.4">
      <c r="B127" s="79"/>
      <c r="C127" s="93"/>
      <c r="D127" s="88"/>
    </row>
    <row r="128" spans="1:4" ht="15" thickBot="1" x14ac:dyDescent="0.4">
      <c r="B128" s="94"/>
      <c r="C128" s="95"/>
      <c r="D128" s="80"/>
    </row>
    <row r="129" spans="2:4" ht="15" thickBot="1" x14ac:dyDescent="0.4">
      <c r="B129" s="96"/>
      <c r="C129" s="79"/>
      <c r="D129" s="79"/>
    </row>
    <row r="130" spans="2:4" ht="15" thickBot="1" x14ac:dyDescent="0.4">
      <c r="B130" s="94"/>
      <c r="C130" s="93"/>
      <c r="D130" s="81"/>
    </row>
    <row r="131" spans="2:4" ht="15" thickBot="1" x14ac:dyDescent="0.4">
      <c r="B131" s="94"/>
      <c r="C131" s="93"/>
      <c r="D131" s="81"/>
    </row>
    <row r="132" spans="2:4" ht="15" thickBot="1" x14ac:dyDescent="0.4">
      <c r="B132" s="94"/>
      <c r="C132" s="93"/>
      <c r="D132" s="81"/>
    </row>
    <row r="133" spans="2:4" ht="15" thickBot="1" x14ac:dyDescent="0.4">
      <c r="B133" s="94"/>
      <c r="C133" s="93"/>
      <c r="D133" s="81"/>
    </row>
    <row r="134" spans="2:4" ht="15" thickBot="1" x14ac:dyDescent="0.4">
      <c r="B134" s="94"/>
      <c r="C134" s="93"/>
      <c r="D134" s="81"/>
    </row>
    <row r="135" spans="2:4" ht="15" thickBot="1" x14ac:dyDescent="0.4">
      <c r="B135" s="94"/>
      <c r="C135" s="93"/>
      <c r="D135" s="81"/>
    </row>
    <row r="136" spans="2:4" ht="15" thickBot="1" x14ac:dyDescent="0.4">
      <c r="B136" s="94"/>
      <c r="C136" s="93"/>
      <c r="D136" s="81"/>
    </row>
    <row r="137" spans="2:4" ht="15" thickBot="1" x14ac:dyDescent="0.4">
      <c r="B137" s="96"/>
      <c r="C137" s="93"/>
      <c r="D137" s="79"/>
    </row>
    <row r="138" spans="2:4" ht="15" thickBot="1" x14ac:dyDescent="0.4">
      <c r="B138" s="96"/>
      <c r="C138" s="79"/>
      <c r="D138" s="79"/>
    </row>
    <row r="139" spans="2:4" ht="15" thickBot="1" x14ac:dyDescent="0.4">
      <c r="B139" s="96"/>
      <c r="C139" s="79"/>
      <c r="D139" s="79"/>
    </row>
    <row r="140" spans="2:4" ht="15" thickBot="1" x14ac:dyDescent="0.4">
      <c r="B140" s="96"/>
      <c r="C140" s="79"/>
      <c r="D140" s="79"/>
    </row>
    <row r="141" spans="2:4" ht="15" thickBot="1" x14ac:dyDescent="0.4">
      <c r="B141" s="94"/>
      <c r="C141" s="93"/>
      <c r="D141" s="81"/>
    </row>
    <row r="142" spans="2:4" ht="15" thickBot="1" x14ac:dyDescent="0.4">
      <c r="B142" s="94"/>
      <c r="C142" s="93"/>
      <c r="D142" s="81"/>
    </row>
    <row r="143" spans="2:4" ht="15" thickBot="1" x14ac:dyDescent="0.4">
      <c r="B143" s="94"/>
      <c r="C143" s="93"/>
      <c r="D143" s="81"/>
    </row>
    <row r="144" spans="2:4" ht="15" thickBot="1" x14ac:dyDescent="0.4">
      <c r="B144" s="94"/>
      <c r="C144" s="93"/>
      <c r="D144" s="81"/>
    </row>
    <row r="145" spans="2:4" ht="15" thickBot="1" x14ac:dyDescent="0.4">
      <c r="B145" s="94"/>
      <c r="C145" s="93"/>
      <c r="D145" s="81"/>
    </row>
    <row r="146" spans="2:4" ht="15" thickBot="1" x14ac:dyDescent="0.4">
      <c r="B146" s="94"/>
      <c r="C146" s="93"/>
      <c r="D146" s="81"/>
    </row>
    <row r="147" spans="2:4" ht="15" thickBot="1" x14ac:dyDescent="0.4">
      <c r="B147" s="94"/>
      <c r="C147" s="93"/>
      <c r="D147" s="81"/>
    </row>
    <row r="148" spans="2:4" ht="15" thickBot="1" x14ac:dyDescent="0.4">
      <c r="B148" s="96"/>
      <c r="C148" s="93"/>
      <c r="D148" s="89"/>
    </row>
    <row r="149" spans="2:4" ht="15" thickBot="1" x14ac:dyDescent="0.4">
      <c r="B149" s="79"/>
      <c r="C149" s="79"/>
      <c r="D149" s="79"/>
    </row>
    <row r="150" spans="2:4" ht="15" thickBot="1" x14ac:dyDescent="0.4">
      <c r="B150" s="97"/>
      <c r="C150" s="79"/>
      <c r="D150" s="90"/>
    </row>
    <row r="151" spans="2:4" ht="15" thickBot="1" x14ac:dyDescent="0.4">
      <c r="B151" s="79"/>
      <c r="C151" s="79"/>
      <c r="D151" s="79"/>
    </row>
    <row r="152" spans="2:4" ht="15" thickBot="1" x14ac:dyDescent="0.4">
      <c r="B152" s="92"/>
      <c r="C152" s="79"/>
      <c r="D152" s="79"/>
    </row>
    <row r="153" spans="2:4" ht="15" thickBot="1" x14ac:dyDescent="0.4">
      <c r="B153" s="96"/>
      <c r="C153" s="79"/>
      <c r="D153" s="79"/>
    </row>
    <row r="154" spans="2:4" ht="15" thickBot="1" x14ac:dyDescent="0.4">
      <c r="B154" s="79"/>
      <c r="C154" s="93"/>
      <c r="D154" s="81"/>
    </row>
    <row r="155" spans="2:4" ht="15" thickBot="1" x14ac:dyDescent="0.4">
      <c r="B155" s="79"/>
      <c r="C155" s="93"/>
      <c r="D155" s="81"/>
    </row>
    <row r="156" spans="2:4" ht="15" thickBot="1" x14ac:dyDescent="0.4">
      <c r="B156" s="79"/>
      <c r="C156" s="93"/>
      <c r="D156" s="81"/>
    </row>
    <row r="157" spans="2:4" ht="15" thickBot="1" x14ac:dyDescent="0.4">
      <c r="B157" s="96"/>
      <c r="C157" s="93"/>
      <c r="D157" s="89"/>
    </row>
    <row r="158" spans="2:4" ht="15" thickBot="1" x14ac:dyDescent="0.4">
      <c r="B158" s="79"/>
      <c r="C158" s="79"/>
      <c r="D158" s="79"/>
    </row>
    <row r="159" spans="2:4" ht="15" thickBot="1" x14ac:dyDescent="0.4">
      <c r="B159" s="92"/>
      <c r="C159" s="79"/>
      <c r="D159" s="79"/>
    </row>
    <row r="160" spans="2:4" ht="15" thickBot="1" x14ac:dyDescent="0.4">
      <c r="B160" s="79"/>
      <c r="C160" s="93"/>
      <c r="D160" s="80"/>
    </row>
    <row r="161" spans="2:4" ht="15" thickBot="1" x14ac:dyDescent="0.4">
      <c r="B161" s="92"/>
      <c r="C161" s="79"/>
      <c r="D161" s="79"/>
    </row>
    <row r="162" spans="2:4" ht="15" thickBot="1" x14ac:dyDescent="0.4">
      <c r="B162" s="94"/>
      <c r="C162" s="95"/>
      <c r="D162" s="91"/>
    </row>
    <row r="163" spans="2:4" ht="15" thickBot="1" x14ac:dyDescent="0.4">
      <c r="B163" s="79"/>
      <c r="C163" s="79"/>
      <c r="D163" s="91"/>
    </row>
    <row r="164" spans="2:4" ht="15" thickBot="1" x14ac:dyDescent="0.4">
      <c r="B164" s="79"/>
      <c r="C164" s="79"/>
      <c r="D164" s="79"/>
    </row>
    <row r="165" spans="2:4" ht="15" thickBot="1" x14ac:dyDescent="0.4">
      <c r="B165" s="79"/>
      <c r="C165" s="79"/>
      <c r="D165" s="81"/>
    </row>
    <row r="166" spans="2:4" ht="15" thickBot="1" x14ac:dyDescent="0.4">
      <c r="B166" s="79"/>
      <c r="C166" s="79"/>
      <c r="D166" s="79"/>
    </row>
    <row r="167" spans="2:4" ht="15" thickBot="1" x14ac:dyDescent="0.4">
      <c r="B167" s="98"/>
      <c r="C167" s="79"/>
      <c r="D167" s="79"/>
    </row>
    <row r="168" spans="2:4" ht="15" thickBot="1" x14ac:dyDescent="0.4">
      <c r="B168" s="94"/>
      <c r="C168" s="95"/>
      <c r="D168" s="91"/>
    </row>
    <row r="169" spans="2:4" ht="15" thickBot="1" x14ac:dyDescent="0.4">
      <c r="B169" s="79"/>
      <c r="C169" s="79"/>
      <c r="D169" s="91"/>
    </row>
    <row r="170" spans="2:4" ht="15" thickBot="1" x14ac:dyDescent="0.4">
      <c r="B170" s="79"/>
      <c r="C170" s="79"/>
      <c r="D170" s="79"/>
    </row>
    <row r="171" spans="2:4" ht="15" thickBot="1" x14ac:dyDescent="0.4">
      <c r="B171" s="79"/>
      <c r="C171" s="79"/>
      <c r="D171" s="81"/>
    </row>
    <row r="172" spans="2:4" ht="15" thickBot="1" x14ac:dyDescent="0.4">
      <c r="B172" s="94"/>
      <c r="C172" s="95"/>
      <c r="D172" s="79"/>
    </row>
    <row r="173" spans="2:4" ht="15" thickBot="1" x14ac:dyDescent="0.4">
      <c r="B173" s="94"/>
      <c r="C173" s="95"/>
      <c r="D173" s="80"/>
    </row>
    <row r="174" spans="2:4" ht="15" thickBot="1" x14ac:dyDescent="0.4">
      <c r="B174" s="79"/>
      <c r="C174" s="79"/>
      <c r="D174" s="91"/>
    </row>
    <row r="175" spans="2:4" ht="15" thickBot="1" x14ac:dyDescent="0.4">
      <c r="B175" s="79"/>
      <c r="C175" s="79"/>
      <c r="D175" s="79"/>
    </row>
    <row r="176" spans="2:4" ht="15" thickBot="1" x14ac:dyDescent="0.4">
      <c r="B176" s="94"/>
      <c r="C176" s="95"/>
      <c r="D176" s="80"/>
    </row>
    <row r="177" spans="2:4" ht="15" thickBot="1" x14ac:dyDescent="0.4">
      <c r="B177" s="79"/>
      <c r="C177" s="79"/>
      <c r="D177" s="79"/>
    </row>
    <row r="178" spans="2:4" ht="15" thickBot="1" x14ac:dyDescent="0.4">
      <c r="B178" s="92"/>
      <c r="C178" s="79"/>
      <c r="D178" s="79"/>
    </row>
    <row r="179" spans="2:4" ht="15" thickBot="1" x14ac:dyDescent="0.4">
      <c r="B179" s="79"/>
      <c r="C179" s="79"/>
      <c r="D179" s="79"/>
    </row>
    <row r="180" spans="2:4" ht="15" thickBot="1" x14ac:dyDescent="0.4">
      <c r="B180" s="98"/>
      <c r="C180" s="79"/>
      <c r="D180" s="79"/>
    </row>
    <row r="181" spans="2:4" ht="15" thickBot="1" x14ac:dyDescent="0.4">
      <c r="B181" s="79"/>
      <c r="C181" s="79"/>
      <c r="D181" s="80"/>
    </row>
    <row r="182" spans="2:4" ht="15" thickBot="1" x14ac:dyDescent="0.4">
      <c r="B182" s="79"/>
      <c r="C182" s="79"/>
      <c r="D182" s="79"/>
    </row>
    <row r="183" spans="2:4" ht="15" thickBot="1" x14ac:dyDescent="0.4">
      <c r="B183" s="99"/>
      <c r="C183" s="79"/>
      <c r="D183" s="79"/>
    </row>
    <row r="184" spans="2:4" ht="15" thickBot="1" x14ac:dyDescent="0.4">
      <c r="B184" s="94"/>
      <c r="C184" s="95"/>
      <c r="D184" s="80"/>
    </row>
    <row r="185" spans="2:4" ht="15" thickBot="1" x14ac:dyDescent="0.4">
      <c r="B185" s="79"/>
      <c r="C185" s="79"/>
      <c r="D185" s="80"/>
    </row>
    <row r="186" spans="2:4" ht="15" thickBot="1" x14ac:dyDescent="0.4">
      <c r="B186" s="79"/>
      <c r="C186" s="79"/>
      <c r="D186" s="79"/>
    </row>
    <row r="187" spans="2:4" ht="15" thickBot="1" x14ac:dyDescent="0.4">
      <c r="B187" s="79"/>
      <c r="C187" s="79"/>
      <c r="D187" s="80"/>
    </row>
    <row r="188" spans="2:4" ht="15" thickBot="1" x14ac:dyDescent="0.4">
      <c r="B188" s="92"/>
      <c r="C188" s="79"/>
      <c r="D188" s="79"/>
    </row>
    <row r="189" spans="2:4" ht="15" thickBot="1" x14ac:dyDescent="0.4">
      <c r="B189" s="79"/>
      <c r="C189" s="79"/>
      <c r="D189" s="80"/>
    </row>
    <row r="190" spans="2:4" ht="15" thickBot="1" x14ac:dyDescent="0.4">
      <c r="B190" s="94"/>
      <c r="C190" s="95"/>
      <c r="D190" s="81"/>
    </row>
    <row r="191" spans="2:4" ht="15" thickBot="1" x14ac:dyDescent="0.4">
      <c r="B191" s="79"/>
      <c r="C191" s="79"/>
      <c r="D191" s="79"/>
    </row>
  </sheetData>
  <mergeCells count="2">
    <mergeCell ref="H8:I8"/>
    <mergeCell ref="H21:I21"/>
  </mergeCell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07"/>
  <sheetViews>
    <sheetView topLeftCell="A201" zoomScale="70" zoomScaleNormal="70" workbookViewId="0">
      <selection activeCell="G184" sqref="G184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7" max="7" width="10.26953125" customWidth="1"/>
    <col min="12" max="12" width="38.1796875" customWidth="1"/>
    <col min="14" max="14" width="11" bestFit="1" customWidth="1"/>
  </cols>
  <sheetData>
    <row r="1" spans="1:4" ht="15" thickBot="1" x14ac:dyDescent="0.4">
      <c r="A1" s="48" t="s">
        <v>615</v>
      </c>
      <c r="B1" s="46"/>
      <c r="C1" s="46"/>
      <c r="D1" t="s">
        <v>1027</v>
      </c>
    </row>
    <row r="2" spans="1:4" ht="15" thickBot="1" x14ac:dyDescent="0.4">
      <c r="A2" s="47"/>
      <c r="B2" s="47"/>
      <c r="C2" s="47"/>
    </row>
    <row r="3" spans="1:4" ht="15" thickBot="1" x14ac:dyDescent="0.4">
      <c r="A3" s="48" t="s">
        <v>616</v>
      </c>
      <c r="B3" s="46"/>
      <c r="C3" s="46"/>
    </row>
    <row r="4" spans="1:4" ht="15" thickBot="1" x14ac:dyDescent="0.4">
      <c r="A4" s="66" t="s">
        <v>515</v>
      </c>
      <c r="B4" s="47"/>
      <c r="C4" s="47"/>
    </row>
    <row r="5" spans="1:4" ht="15" thickBot="1" x14ac:dyDescent="0.4">
      <c r="A5" s="100" t="s">
        <v>617</v>
      </c>
      <c r="B5" s="100" t="s">
        <v>513</v>
      </c>
      <c r="C5" s="55"/>
      <c r="D5">
        <v>62500</v>
      </c>
    </row>
    <row r="6" spans="1:4" ht="15" thickBot="1" x14ac:dyDescent="0.4">
      <c r="A6" s="101" t="s">
        <v>618</v>
      </c>
      <c r="B6" s="102" t="s">
        <v>513</v>
      </c>
      <c r="C6" s="101"/>
      <c r="D6">
        <f>D5-D7-D8</f>
        <v>24500</v>
      </c>
    </row>
    <row r="7" spans="1:4" ht="15" thickBot="1" x14ac:dyDescent="0.4">
      <c r="A7" s="101" t="s">
        <v>619</v>
      </c>
      <c r="B7" s="102" t="s">
        <v>513</v>
      </c>
      <c r="C7" s="101"/>
      <c r="D7">
        <f>0.572*D5</f>
        <v>35750</v>
      </c>
    </row>
    <row r="8" spans="1:4" ht="15" thickBot="1" x14ac:dyDescent="0.4">
      <c r="A8" s="101" t="s">
        <v>620</v>
      </c>
      <c r="B8" s="102" t="s">
        <v>513</v>
      </c>
      <c r="C8" s="101"/>
      <c r="D8">
        <f>0.036*D5</f>
        <v>2250</v>
      </c>
    </row>
    <row r="9" spans="1:4" ht="15" thickBot="1" x14ac:dyDescent="0.4">
      <c r="A9" s="48" t="s">
        <v>526</v>
      </c>
      <c r="B9" s="48"/>
      <c r="C9" s="48"/>
    </row>
    <row r="10" spans="1:4" ht="15" thickBot="1" x14ac:dyDescent="0.4">
      <c r="A10" s="103" t="s">
        <v>622</v>
      </c>
      <c r="B10" s="47"/>
      <c r="C10" s="104"/>
    </row>
    <row r="11" spans="1:4" ht="15" thickBot="1" x14ac:dyDescent="0.4">
      <c r="A11" s="66"/>
      <c r="B11" s="47"/>
      <c r="C11" s="47"/>
    </row>
    <row r="12" spans="1:4" ht="15" thickBot="1" x14ac:dyDescent="0.4">
      <c r="A12" s="66" t="s">
        <v>514</v>
      </c>
      <c r="B12" s="47"/>
      <c r="C12" s="67"/>
      <c r="D12" s="137"/>
    </row>
    <row r="13" spans="1:4" ht="15" thickBot="1" x14ac:dyDescent="0.4">
      <c r="A13" s="100" t="s">
        <v>621</v>
      </c>
      <c r="B13" s="100" t="s">
        <v>513</v>
      </c>
      <c r="C13" s="55"/>
    </row>
    <row r="14" spans="1:4" ht="15" thickBot="1" x14ac:dyDescent="0.4">
      <c r="A14" s="100" t="s">
        <v>512</v>
      </c>
      <c r="B14" s="100" t="s">
        <v>513</v>
      </c>
      <c r="C14" s="55"/>
    </row>
    <row r="15" spans="1:4" ht="15" thickBot="1" x14ac:dyDescent="0.4">
      <c r="A15" s="105" t="s">
        <v>623</v>
      </c>
      <c r="B15" s="100" t="s">
        <v>513</v>
      </c>
      <c r="C15" s="55"/>
      <c r="D15" s="137"/>
    </row>
    <row r="16" spans="1:4" ht="15" thickBot="1" x14ac:dyDescent="0.4">
      <c r="A16" s="106" t="s">
        <v>624</v>
      </c>
      <c r="B16" s="107" t="s">
        <v>513</v>
      </c>
      <c r="C16" s="106"/>
      <c r="D16" s="137">
        <v>305.96699999999998</v>
      </c>
    </row>
    <row r="17" spans="1:4" ht="15" thickBot="1" x14ac:dyDescent="0.4">
      <c r="A17" s="106" t="s">
        <v>619</v>
      </c>
      <c r="B17" s="107" t="s">
        <v>513</v>
      </c>
      <c r="C17" s="106"/>
    </row>
    <row r="18" spans="1:4" ht="15" thickBot="1" x14ac:dyDescent="0.4">
      <c r="A18" s="47"/>
      <c r="B18" s="47"/>
      <c r="C18" s="47"/>
    </row>
    <row r="19" spans="1:4" ht="15" thickBot="1" x14ac:dyDescent="0.4">
      <c r="A19" s="66" t="s">
        <v>515</v>
      </c>
      <c r="B19" s="47"/>
      <c r="C19" s="47"/>
    </row>
    <row r="20" spans="1:4" ht="15" thickBot="1" x14ac:dyDescent="0.4">
      <c r="A20" s="100" t="s">
        <v>625</v>
      </c>
      <c r="B20" s="100" t="s">
        <v>513</v>
      </c>
      <c r="C20" s="67"/>
      <c r="D20">
        <v>208157</v>
      </c>
    </row>
    <row r="21" spans="1:4" ht="15" thickBot="1" x14ac:dyDescent="0.4">
      <c r="A21" s="101" t="s">
        <v>626</v>
      </c>
      <c r="B21" s="102" t="s">
        <v>513</v>
      </c>
      <c r="C21" s="101"/>
      <c r="D21">
        <f>D6</f>
        <v>24500</v>
      </c>
    </row>
    <row r="22" spans="1:4" ht="15" thickBot="1" x14ac:dyDescent="0.4">
      <c r="A22" s="108" t="s">
        <v>627</v>
      </c>
      <c r="B22" s="109" t="s">
        <v>513</v>
      </c>
      <c r="C22" s="108"/>
      <c r="D22">
        <f>D8</f>
        <v>2250</v>
      </c>
    </row>
    <row r="23" spans="1:4" ht="15" thickBot="1" x14ac:dyDescent="0.4">
      <c r="A23" s="101" t="s">
        <v>628</v>
      </c>
      <c r="B23" s="102" t="s">
        <v>513</v>
      </c>
      <c r="C23" s="101"/>
      <c r="D23" s="137">
        <f>D16</f>
        <v>305.96699999999998</v>
      </c>
    </row>
    <row r="24" spans="1:4" ht="15" thickBot="1" x14ac:dyDescent="0.4">
      <c r="A24" s="101" t="s">
        <v>619</v>
      </c>
      <c r="B24" s="102" t="s">
        <v>513</v>
      </c>
      <c r="C24" s="101"/>
      <c r="D24" s="137">
        <f>D20-D21-D22-D23</f>
        <v>181101.033</v>
      </c>
    </row>
    <row r="25" spans="1:4" ht="15" thickBot="1" x14ac:dyDescent="0.4">
      <c r="A25" s="47"/>
      <c r="B25" s="47"/>
      <c r="C25" s="47"/>
    </row>
    <row r="26" spans="1:4" ht="15" thickBot="1" x14ac:dyDescent="0.4">
      <c r="A26" s="48" t="s">
        <v>539</v>
      </c>
      <c r="B26" s="46"/>
      <c r="C26" s="46"/>
    </row>
    <row r="27" spans="1:4" ht="15" thickBot="1" x14ac:dyDescent="0.4">
      <c r="A27" s="100" t="s">
        <v>625</v>
      </c>
      <c r="B27" s="100" t="s">
        <v>513</v>
      </c>
      <c r="C27" s="55"/>
      <c r="D27">
        <v>208157</v>
      </c>
    </row>
    <row r="28" spans="1:4" ht="15" thickBot="1" x14ac:dyDescent="0.4">
      <c r="A28" s="47"/>
      <c r="B28" s="47"/>
      <c r="C28" s="47"/>
    </row>
    <row r="29" spans="1:4" ht="15" thickBot="1" x14ac:dyDescent="0.4">
      <c r="A29" s="100" t="s">
        <v>629</v>
      </c>
      <c r="B29" s="100" t="s">
        <v>513</v>
      </c>
      <c r="C29" s="55"/>
      <c r="D29">
        <f>D30+D39+D36+D40+D33</f>
        <v>208157.01170668859</v>
      </c>
    </row>
    <row r="30" spans="1:4" ht="15" thickBot="1" x14ac:dyDescent="0.4">
      <c r="A30" s="101" t="s">
        <v>630</v>
      </c>
      <c r="B30" s="102" t="s">
        <v>513</v>
      </c>
      <c r="C30" s="101"/>
      <c r="D30">
        <v>7712.1425223555098</v>
      </c>
    </row>
    <row r="31" spans="1:4" ht="15" thickBot="1" x14ac:dyDescent="0.4">
      <c r="A31" s="110" t="s">
        <v>631</v>
      </c>
      <c r="B31" s="111" t="s">
        <v>513</v>
      </c>
      <c r="C31" s="110"/>
    </row>
    <row r="32" spans="1:4" ht="15" thickBot="1" x14ac:dyDescent="0.4">
      <c r="A32" s="110" t="s">
        <v>632</v>
      </c>
      <c r="B32" s="111" t="s">
        <v>513</v>
      </c>
      <c r="C32" s="110"/>
    </row>
    <row r="33" spans="1:4" ht="15" thickBot="1" x14ac:dyDescent="0.4">
      <c r="A33" s="101" t="s">
        <v>633</v>
      </c>
      <c r="B33" s="102" t="s">
        <v>513</v>
      </c>
      <c r="C33" s="101"/>
      <c r="D33">
        <v>5233.6184285828604</v>
      </c>
    </row>
    <row r="34" spans="1:4" ht="15" thickBot="1" x14ac:dyDescent="0.4">
      <c r="A34" s="110" t="s">
        <v>631</v>
      </c>
      <c r="B34" s="111" t="s">
        <v>513</v>
      </c>
      <c r="C34" s="110"/>
    </row>
    <row r="35" spans="1:4" ht="15" thickBot="1" x14ac:dyDescent="0.4">
      <c r="A35" s="110" t="s">
        <v>632</v>
      </c>
      <c r="B35" s="111" t="s">
        <v>513</v>
      </c>
      <c r="C35" s="110"/>
    </row>
    <row r="36" spans="1:4" ht="15" thickBot="1" x14ac:dyDescent="0.4">
      <c r="A36" s="101" t="s">
        <v>634</v>
      </c>
      <c r="B36" s="102" t="s">
        <v>513</v>
      </c>
      <c r="C36" s="101"/>
      <c r="D36">
        <v>7476.9848670292504</v>
      </c>
    </row>
    <row r="37" spans="1:4" ht="15" thickBot="1" x14ac:dyDescent="0.4">
      <c r="A37" s="110" t="s">
        <v>631</v>
      </c>
      <c r="B37" s="111" t="s">
        <v>513</v>
      </c>
      <c r="C37" s="110"/>
    </row>
    <row r="38" spans="1:4" ht="15" thickBot="1" x14ac:dyDescent="0.4">
      <c r="A38" s="110" t="s">
        <v>632</v>
      </c>
      <c r="B38" s="111" t="s">
        <v>513</v>
      </c>
      <c r="C38" s="110"/>
    </row>
    <row r="39" spans="1:4" ht="15" thickBot="1" x14ac:dyDescent="0.4">
      <c r="A39" s="101" t="s">
        <v>619</v>
      </c>
      <c r="B39" s="102" t="s">
        <v>513</v>
      </c>
      <c r="C39" s="101"/>
      <c r="D39">
        <f>186216.484360888-5233.61842858286</f>
        <v>180982.86593230514</v>
      </c>
    </row>
    <row r="40" spans="1:4" ht="15" thickBot="1" x14ac:dyDescent="0.4">
      <c r="A40" s="101" t="s">
        <v>635</v>
      </c>
      <c r="B40" s="102" t="s">
        <v>513</v>
      </c>
      <c r="C40" s="101"/>
      <c r="D40">
        <v>6751.3999564158503</v>
      </c>
    </row>
    <row r="41" spans="1:4" ht="15" thickBot="1" x14ac:dyDescent="0.4">
      <c r="A41" s="110" t="s">
        <v>631</v>
      </c>
      <c r="B41" s="111" t="s">
        <v>513</v>
      </c>
      <c r="C41" s="110"/>
    </row>
    <row r="42" spans="1:4" ht="15" thickBot="1" x14ac:dyDescent="0.4">
      <c r="A42" s="110" t="s">
        <v>632</v>
      </c>
      <c r="B42" s="111" t="s">
        <v>513</v>
      </c>
      <c r="C42" s="110"/>
    </row>
    <row r="43" spans="1:4" ht="15" thickBot="1" x14ac:dyDescent="0.4">
      <c r="A43" s="101"/>
      <c r="B43" s="102"/>
      <c r="C43" s="102"/>
    </row>
    <row r="44" spans="1:4" ht="15" thickBot="1" x14ac:dyDescent="0.4">
      <c r="A44" s="48" t="s">
        <v>684</v>
      </c>
      <c r="B44" s="46"/>
      <c r="C44" s="46"/>
    </row>
    <row r="45" spans="1:4" ht="15" thickBot="1" x14ac:dyDescent="0.4">
      <c r="A45" s="58" t="s">
        <v>514</v>
      </c>
      <c r="B45" s="47"/>
      <c r="C45" s="102"/>
    </row>
    <row r="46" spans="1:4" ht="15" thickBot="1" x14ac:dyDescent="0.4">
      <c r="A46" s="100" t="s">
        <v>629</v>
      </c>
      <c r="B46" s="100" t="s">
        <v>513</v>
      </c>
      <c r="C46" s="55"/>
      <c r="D46">
        <f>D29</f>
        <v>208157.01170668859</v>
      </c>
    </row>
    <row r="47" spans="1:4" ht="15" thickBot="1" x14ac:dyDescent="0.4">
      <c r="A47" s="47"/>
      <c r="B47" s="47"/>
      <c r="C47" s="47"/>
    </row>
    <row r="48" spans="1:4" ht="15" thickBot="1" x14ac:dyDescent="0.4">
      <c r="A48" s="66" t="s">
        <v>515</v>
      </c>
      <c r="B48" s="47"/>
      <c r="C48" s="47"/>
    </row>
    <row r="49" spans="1:4" ht="15" thickBot="1" x14ac:dyDescent="0.4">
      <c r="A49" s="100" t="s">
        <v>636</v>
      </c>
      <c r="B49" s="100" t="s">
        <v>513</v>
      </c>
      <c r="C49" s="55"/>
      <c r="D49">
        <f>D46</f>
        <v>208157.01170668859</v>
      </c>
    </row>
    <row r="50" spans="1:4" ht="15" thickBot="1" x14ac:dyDescent="0.4">
      <c r="A50" s="47"/>
      <c r="B50" s="47"/>
      <c r="C50" s="47"/>
    </row>
    <row r="51" spans="1:4" ht="15" thickBot="1" x14ac:dyDescent="0.4">
      <c r="A51" s="48" t="s">
        <v>683</v>
      </c>
      <c r="B51" s="46"/>
      <c r="C51" s="46"/>
    </row>
    <row r="52" spans="1:4" ht="15" thickBot="1" x14ac:dyDescent="0.4">
      <c r="A52" s="66" t="s">
        <v>514</v>
      </c>
      <c r="B52" s="47"/>
      <c r="C52" s="47"/>
    </row>
    <row r="53" spans="1:4" ht="15" thickBot="1" x14ac:dyDescent="0.4">
      <c r="A53" s="100" t="s">
        <v>685</v>
      </c>
      <c r="B53" s="100" t="s">
        <v>513</v>
      </c>
      <c r="C53" s="55"/>
      <c r="D53">
        <f>D49</f>
        <v>208157.01170668859</v>
      </c>
    </row>
    <row r="54" spans="1:4" ht="15" thickBot="1" x14ac:dyDescent="0.4">
      <c r="A54" s="47"/>
      <c r="B54" s="47"/>
      <c r="C54" s="47"/>
    </row>
    <row r="55" spans="1:4" ht="15" thickBot="1" x14ac:dyDescent="0.4">
      <c r="A55" s="66" t="s">
        <v>515</v>
      </c>
      <c r="B55" s="47"/>
      <c r="C55" s="67"/>
      <c r="D55">
        <f>SUM(D56:D57)</f>
        <v>208157.01170668824</v>
      </c>
    </row>
    <row r="56" spans="1:4" ht="15" thickBot="1" x14ac:dyDescent="0.4">
      <c r="A56" s="100" t="s">
        <v>637</v>
      </c>
      <c r="B56" s="100" t="s">
        <v>513</v>
      </c>
      <c r="C56" s="55"/>
      <c r="D56">
        <v>200680.026839659</v>
      </c>
    </row>
    <row r="57" spans="1:4" ht="15" thickBot="1" x14ac:dyDescent="0.4">
      <c r="A57" s="100" t="s">
        <v>638</v>
      </c>
      <c r="B57" s="100" t="s">
        <v>513</v>
      </c>
      <c r="C57" s="55"/>
      <c r="D57">
        <v>7476.9848670292504</v>
      </c>
    </row>
    <row r="58" spans="1:4" ht="15" thickBot="1" x14ac:dyDescent="0.4">
      <c r="A58" s="47"/>
      <c r="B58" s="47"/>
      <c r="C58" s="47"/>
    </row>
    <row r="59" spans="1:4" ht="15" thickBot="1" x14ac:dyDescent="0.4">
      <c r="A59" s="45" t="s">
        <v>564</v>
      </c>
      <c r="B59" s="46"/>
      <c r="C59" s="46"/>
    </row>
    <row r="60" spans="1:4" ht="15" thickBot="1" x14ac:dyDescent="0.4">
      <c r="A60" s="66" t="s">
        <v>514</v>
      </c>
      <c r="B60" s="47"/>
      <c r="C60" s="47"/>
    </row>
    <row r="61" spans="1:4" ht="15" thickBot="1" x14ac:dyDescent="0.4">
      <c r="A61" s="100" t="s">
        <v>637</v>
      </c>
      <c r="B61" s="100" t="s">
        <v>513</v>
      </c>
      <c r="C61" s="55"/>
      <c r="D61">
        <f>D56</f>
        <v>200680.026839659</v>
      </c>
    </row>
    <row r="62" spans="1:4" ht="15" thickBot="1" x14ac:dyDescent="0.4">
      <c r="A62" s="47"/>
      <c r="B62" s="47"/>
      <c r="C62" s="47"/>
    </row>
    <row r="63" spans="1:4" ht="15" thickBot="1" x14ac:dyDescent="0.4">
      <c r="A63" s="66" t="s">
        <v>515</v>
      </c>
      <c r="B63" s="47"/>
      <c r="C63" s="67"/>
      <c r="D63">
        <f>D64+D65</f>
        <v>200680.02683965885</v>
      </c>
    </row>
    <row r="64" spans="1:4" ht="15" thickBot="1" x14ac:dyDescent="0.4">
      <c r="A64" s="100" t="s">
        <v>639</v>
      </c>
      <c r="B64" s="100" t="s">
        <v>513</v>
      </c>
      <c r="C64" s="55"/>
      <c r="D64">
        <v>193928.62688324301</v>
      </c>
    </row>
    <row r="65" spans="1:4" ht="15" thickBot="1" x14ac:dyDescent="0.4">
      <c r="A65" s="100" t="s">
        <v>640</v>
      </c>
      <c r="B65" s="100" t="s">
        <v>513</v>
      </c>
      <c r="C65" s="55"/>
      <c r="D65">
        <f>SUM(D66:D105)</f>
        <v>6751.3999564158457</v>
      </c>
    </row>
    <row r="66" spans="1:4" ht="15" thickBot="1" x14ac:dyDescent="0.4">
      <c r="A66" s="120" t="s">
        <v>686</v>
      </c>
      <c r="B66" s="102" t="s">
        <v>513</v>
      </c>
      <c r="C66" s="101"/>
      <c r="D66">
        <v>366.47322196881402</v>
      </c>
    </row>
    <row r="67" spans="1:4" ht="15" thickBot="1" x14ac:dyDescent="0.4">
      <c r="A67" s="120" t="s">
        <v>191</v>
      </c>
      <c r="B67" s="102" t="s">
        <v>513</v>
      </c>
      <c r="C67" s="101"/>
      <c r="D67">
        <v>71.364628688424702</v>
      </c>
    </row>
    <row r="68" spans="1:4" ht="15" thickBot="1" x14ac:dyDescent="0.4">
      <c r="A68" s="120" t="s">
        <v>180</v>
      </c>
      <c r="B68" s="102" t="s">
        <v>513</v>
      </c>
      <c r="C68" s="101"/>
      <c r="D68">
        <v>2.3339886465352402</v>
      </c>
    </row>
    <row r="69" spans="1:4" ht="15" thickBot="1" x14ac:dyDescent="0.4">
      <c r="A69" s="120" t="s">
        <v>129</v>
      </c>
      <c r="B69" s="102" t="s">
        <v>513</v>
      </c>
      <c r="C69" s="101"/>
      <c r="D69">
        <v>0.204455979938131</v>
      </c>
    </row>
    <row r="70" spans="1:4" ht="15" thickBot="1" x14ac:dyDescent="0.4">
      <c r="A70" s="120" t="s">
        <v>131</v>
      </c>
      <c r="B70" s="102" t="s">
        <v>513</v>
      </c>
      <c r="C70" s="101"/>
      <c r="D70">
        <v>8.4250338729534205E-2</v>
      </c>
    </row>
    <row r="71" spans="1:4" ht="15" thickBot="1" x14ac:dyDescent="0.4">
      <c r="A71" s="120" t="s">
        <v>132</v>
      </c>
      <c r="B71" s="102" t="s">
        <v>513</v>
      </c>
      <c r="C71" s="101"/>
      <c r="D71">
        <v>1.71475225817946E-2</v>
      </c>
    </row>
    <row r="72" spans="1:4" ht="15" thickBot="1" x14ac:dyDescent="0.4">
      <c r="A72" s="121" t="s">
        <v>133</v>
      </c>
      <c r="B72" s="102" t="s">
        <v>513</v>
      </c>
      <c r="C72" s="47"/>
      <c r="D72">
        <v>4.38986475725546E-2</v>
      </c>
    </row>
    <row r="73" spans="1:4" ht="15" thickBot="1" x14ac:dyDescent="0.4">
      <c r="A73" s="122" t="s">
        <v>134</v>
      </c>
      <c r="B73" s="102" t="s">
        <v>513</v>
      </c>
      <c r="D73">
        <v>1.6942606650225601E-2</v>
      </c>
    </row>
    <row r="74" spans="1:4" ht="15" thickBot="1" x14ac:dyDescent="0.4">
      <c r="A74" s="122" t="s">
        <v>135</v>
      </c>
      <c r="B74" s="102" t="s">
        <v>513</v>
      </c>
      <c r="D74">
        <v>0.13174283529303901</v>
      </c>
    </row>
    <row r="75" spans="1:4" ht="15" thickBot="1" x14ac:dyDescent="0.4">
      <c r="A75" s="122" t="s">
        <v>136</v>
      </c>
      <c r="B75" s="102" t="s">
        <v>513</v>
      </c>
      <c r="D75">
        <v>1.04444549482559E-2</v>
      </c>
    </row>
    <row r="76" spans="1:4" ht="15" thickBot="1" x14ac:dyDescent="0.4">
      <c r="A76" s="122" t="s">
        <v>137</v>
      </c>
      <c r="B76" s="102" t="s">
        <v>513</v>
      </c>
      <c r="D76">
        <v>1.6278303270835699E-2</v>
      </c>
    </row>
    <row r="77" spans="1:4" ht="15" thickBot="1" x14ac:dyDescent="0.4">
      <c r="A77" s="122" t="s">
        <v>149</v>
      </c>
      <c r="B77" s="102" t="s">
        <v>513</v>
      </c>
      <c r="D77">
        <v>0.10311019246453799</v>
      </c>
    </row>
    <row r="78" spans="1:4" ht="15" thickBot="1" x14ac:dyDescent="0.4">
      <c r="A78" s="122" t="s">
        <v>139</v>
      </c>
      <c r="B78" s="102" t="s">
        <v>513</v>
      </c>
      <c r="D78">
        <v>5.4209567370719497E-3</v>
      </c>
    </row>
    <row r="79" spans="1:4" ht="15" thickBot="1" x14ac:dyDescent="0.4">
      <c r="A79" s="122" t="s">
        <v>140</v>
      </c>
      <c r="B79" s="102" t="s">
        <v>513</v>
      </c>
      <c r="D79" s="39">
        <v>8.1073589129862594E-6</v>
      </c>
    </row>
    <row r="80" spans="1:4" ht="15" thickBot="1" x14ac:dyDescent="0.4">
      <c r="A80" s="122" t="s">
        <v>141</v>
      </c>
      <c r="B80" s="102" t="s">
        <v>513</v>
      </c>
      <c r="D80" s="39">
        <v>1.98354513139403E-7</v>
      </c>
    </row>
    <row r="81" spans="1:14" ht="15" thickBot="1" x14ac:dyDescent="0.4">
      <c r="A81" s="122" t="s">
        <v>142</v>
      </c>
      <c r="B81" s="102" t="s">
        <v>513</v>
      </c>
      <c r="D81" s="39">
        <v>7.9076898666632401E-8</v>
      </c>
    </row>
    <row r="82" spans="1:14" ht="15" thickBot="1" x14ac:dyDescent="0.4">
      <c r="A82" s="122" t="s">
        <v>143</v>
      </c>
      <c r="B82" s="102" t="s">
        <v>513</v>
      </c>
      <c r="D82">
        <v>0.20303196578996199</v>
      </c>
    </row>
    <row r="83" spans="1:14" ht="15" thickBot="1" x14ac:dyDescent="0.4">
      <c r="A83" s="122" t="s">
        <v>144</v>
      </c>
      <c r="B83" s="102" t="s">
        <v>513</v>
      </c>
      <c r="D83">
        <v>0.2141829286527</v>
      </c>
    </row>
    <row r="84" spans="1:14" ht="15" thickBot="1" x14ac:dyDescent="0.4">
      <c r="A84" s="122" t="s">
        <v>687</v>
      </c>
      <c r="B84" s="102" t="s">
        <v>513</v>
      </c>
      <c r="D84">
        <v>3.1523887335188898E-2</v>
      </c>
    </row>
    <row r="85" spans="1:14" ht="15" thickBot="1" x14ac:dyDescent="0.4">
      <c r="A85" s="122" t="s">
        <v>146</v>
      </c>
      <c r="B85" s="102" t="s">
        <v>513</v>
      </c>
      <c r="D85">
        <v>5.3627394549779299E-4</v>
      </c>
    </row>
    <row r="86" spans="1:14" ht="15" thickBot="1" x14ac:dyDescent="0.4">
      <c r="A86" s="122" t="s">
        <v>688</v>
      </c>
      <c r="B86" s="102" t="s">
        <v>513</v>
      </c>
      <c r="D86">
        <v>2.6615990822676898E-3</v>
      </c>
    </row>
    <row r="87" spans="1:14" ht="15" thickBot="1" x14ac:dyDescent="0.4">
      <c r="A87" s="122" t="s">
        <v>148</v>
      </c>
      <c r="B87" s="102" t="s">
        <v>513</v>
      </c>
      <c r="D87">
        <v>8.1341285108090899E-4</v>
      </c>
    </row>
    <row r="88" spans="1:14" ht="15" thickBot="1" x14ac:dyDescent="0.4">
      <c r="A88" s="122" t="s">
        <v>150</v>
      </c>
      <c r="B88" s="102" t="s">
        <v>513</v>
      </c>
      <c r="D88">
        <v>1.39402248676905E-4</v>
      </c>
    </row>
    <row r="89" spans="1:14" ht="15" thickBot="1" x14ac:dyDescent="0.4">
      <c r="A89" s="122" t="s">
        <v>181</v>
      </c>
      <c r="B89" s="102" t="s">
        <v>513</v>
      </c>
      <c r="D89" s="39">
        <v>5.6283971685838097E-5</v>
      </c>
    </row>
    <row r="90" spans="1:14" ht="15" thickBot="1" x14ac:dyDescent="0.4">
      <c r="A90" s="122" t="s">
        <v>182</v>
      </c>
      <c r="B90" s="102" t="s">
        <v>513</v>
      </c>
      <c r="D90">
        <v>8.9671475803211598E-4</v>
      </c>
    </row>
    <row r="91" spans="1:14" ht="15" thickBot="1" x14ac:dyDescent="0.4">
      <c r="A91" s="122" t="s">
        <v>183</v>
      </c>
      <c r="B91" s="102" t="s">
        <v>513</v>
      </c>
      <c r="D91">
        <v>1.1814177234927401E-4</v>
      </c>
    </row>
    <row r="92" spans="1:14" ht="15" thickBot="1" x14ac:dyDescent="0.4">
      <c r="A92" s="122" t="s">
        <v>153</v>
      </c>
      <c r="B92" s="102" t="s">
        <v>513</v>
      </c>
      <c r="D92">
        <v>1.35418855615164E-3</v>
      </c>
    </row>
    <row r="93" spans="1:14" ht="15" thickBot="1" x14ac:dyDescent="0.4">
      <c r="A93" s="122" t="s">
        <v>184</v>
      </c>
      <c r="B93" s="102" t="s">
        <v>513</v>
      </c>
      <c r="D93">
        <v>2.1203856135785601E-4</v>
      </c>
    </row>
    <row r="94" spans="1:14" ht="15" thickBot="1" x14ac:dyDescent="0.4">
      <c r="A94" s="122" t="s">
        <v>185</v>
      </c>
      <c r="B94" s="102" t="s">
        <v>513</v>
      </c>
      <c r="D94">
        <v>1.3622396244866101E-4</v>
      </c>
    </row>
    <row r="95" spans="1:14" ht="15" thickBot="1" x14ac:dyDescent="0.4">
      <c r="A95" s="122" t="s">
        <v>156</v>
      </c>
      <c r="B95" s="102" t="s">
        <v>513</v>
      </c>
      <c r="D95" s="39">
        <v>1.9693827098007101E-8</v>
      </c>
      <c r="L95" s="47"/>
      <c r="M95" s="47"/>
      <c r="N95" s="47"/>
    </row>
    <row r="96" spans="1:14" ht="15" thickBot="1" x14ac:dyDescent="0.4">
      <c r="A96" s="122" t="s">
        <v>186</v>
      </c>
      <c r="B96" s="102" t="s">
        <v>513</v>
      </c>
      <c r="D96" s="39">
        <v>2.2119412214442699E-8</v>
      </c>
    </row>
    <row r="97" spans="1:4" ht="15" thickBot="1" x14ac:dyDescent="0.4">
      <c r="A97" s="122" t="s">
        <v>158</v>
      </c>
      <c r="B97" s="102" t="s">
        <v>513</v>
      </c>
      <c r="D97" s="39">
        <v>6.9958816823607603E-6</v>
      </c>
    </row>
    <row r="98" spans="1:4" ht="15" thickBot="1" x14ac:dyDescent="0.4">
      <c r="A98" s="122" t="s">
        <v>160</v>
      </c>
      <c r="B98" s="102" t="s">
        <v>513</v>
      </c>
      <c r="D98" s="39">
        <v>3.87745530306123E-7</v>
      </c>
    </row>
    <row r="99" spans="1:4" ht="15" thickBot="1" x14ac:dyDescent="0.4">
      <c r="A99" s="122" t="s">
        <v>187</v>
      </c>
      <c r="B99" s="102" t="s">
        <v>513</v>
      </c>
      <c r="D99" s="39">
        <v>2.3283841880378402E-6</v>
      </c>
    </row>
    <row r="100" spans="1:4" ht="15" thickBot="1" x14ac:dyDescent="0.4">
      <c r="A100" s="122" t="s">
        <v>188</v>
      </c>
      <c r="B100" s="102" t="s">
        <v>513</v>
      </c>
      <c r="D100" s="39">
        <v>8.0047587040406799E-7</v>
      </c>
    </row>
    <row r="101" spans="1:4" ht="15" thickBot="1" x14ac:dyDescent="0.4">
      <c r="A101" s="122" t="s">
        <v>189</v>
      </c>
      <c r="B101" s="102" t="s">
        <v>513</v>
      </c>
      <c r="D101">
        <v>5941.8602755806896</v>
      </c>
    </row>
    <row r="102" spans="1:4" ht="15" thickBot="1" x14ac:dyDescent="0.4">
      <c r="A102" s="122" t="s">
        <v>689</v>
      </c>
      <c r="B102" s="102" t="s">
        <v>513</v>
      </c>
      <c r="D102">
        <v>104.057459809517</v>
      </c>
    </row>
    <row r="103" spans="1:4" ht="15" thickBot="1" x14ac:dyDescent="0.4">
      <c r="A103" s="122" t="s">
        <v>690</v>
      </c>
      <c r="B103" s="102" t="s">
        <v>513</v>
      </c>
      <c r="D103">
        <v>130.07628541254101</v>
      </c>
    </row>
    <row r="104" spans="1:4" ht="15" thickBot="1" x14ac:dyDescent="0.4">
      <c r="A104" s="122" t="s">
        <v>691</v>
      </c>
      <c r="B104" s="102" t="s">
        <v>513</v>
      </c>
      <c r="D104">
        <v>123.554053779797</v>
      </c>
    </row>
    <row r="105" spans="1:4" ht="15" thickBot="1" x14ac:dyDescent="0.4">
      <c r="A105" s="122" t="s">
        <v>1064</v>
      </c>
      <c r="D105">
        <v>10.5906686907619</v>
      </c>
    </row>
    <row r="106" spans="1:4" ht="15" thickBot="1" x14ac:dyDescent="0.4">
      <c r="A106" s="45" t="s">
        <v>588</v>
      </c>
      <c r="B106" s="46"/>
      <c r="C106" s="46"/>
    </row>
    <row r="107" spans="1:4" ht="15" thickBot="1" x14ac:dyDescent="0.4">
      <c r="A107" s="66" t="s">
        <v>514</v>
      </c>
      <c r="B107" s="47"/>
      <c r="C107" s="47"/>
    </row>
    <row r="108" spans="1:4" ht="15" thickBot="1" x14ac:dyDescent="0.4">
      <c r="A108" s="100" t="s">
        <v>639</v>
      </c>
      <c r="B108" s="100" t="s">
        <v>513</v>
      </c>
      <c r="C108" s="55"/>
      <c r="D108">
        <f>D64</f>
        <v>193928.62688324301</v>
      </c>
    </row>
    <row r="109" spans="1:4" ht="15" thickBot="1" x14ac:dyDescent="0.4">
      <c r="A109" s="47"/>
      <c r="B109" s="47"/>
      <c r="C109" s="47"/>
    </row>
    <row r="110" spans="1:4" ht="15" thickBot="1" x14ac:dyDescent="0.4">
      <c r="A110" s="66" t="s">
        <v>515</v>
      </c>
      <c r="B110" s="47"/>
      <c r="C110" s="67"/>
      <c r="D110">
        <f>D111+D115</f>
        <v>193928.17940635618</v>
      </c>
    </row>
    <row r="111" spans="1:4" ht="15" thickBot="1" x14ac:dyDescent="0.4">
      <c r="A111" s="100" t="s">
        <v>23</v>
      </c>
      <c r="B111" s="100" t="s">
        <v>513</v>
      </c>
      <c r="C111" s="55"/>
      <c r="D111">
        <f>SUM(D112:D114)</f>
        <v>7712.1414063561697</v>
      </c>
    </row>
    <row r="112" spans="1:4" ht="15" thickBot="1" x14ac:dyDescent="0.4">
      <c r="A112" s="101" t="s">
        <v>624</v>
      </c>
      <c r="B112" s="102" t="s">
        <v>513</v>
      </c>
      <c r="C112" s="101"/>
      <c r="D112">
        <v>7450.99</v>
      </c>
    </row>
    <row r="113" spans="1:14" ht="15" thickBot="1" x14ac:dyDescent="0.4">
      <c r="A113" s="101" t="s">
        <v>619</v>
      </c>
      <c r="B113" s="102" t="s">
        <v>513</v>
      </c>
      <c r="C113" s="101"/>
      <c r="D113">
        <v>261.15140635617001</v>
      </c>
    </row>
    <row r="114" spans="1:14" ht="15" thickBot="1" x14ac:dyDescent="0.4">
      <c r="A114" s="101" t="s">
        <v>620</v>
      </c>
      <c r="B114" s="102" t="s">
        <v>513</v>
      </c>
      <c r="C114" s="101"/>
      <c r="D114">
        <v>0</v>
      </c>
    </row>
    <row r="115" spans="1:14" ht="15" thickBot="1" x14ac:dyDescent="0.4">
      <c r="A115" s="100" t="s">
        <v>507</v>
      </c>
      <c r="B115" s="100" t="s">
        <v>513</v>
      </c>
      <c r="C115" s="55"/>
      <c r="D115">
        <f>SUM(D116:D117)</f>
        <v>186216.038</v>
      </c>
    </row>
    <row r="116" spans="1:14" ht="15" thickBot="1" x14ac:dyDescent="0.4">
      <c r="A116" s="101" t="s">
        <v>624</v>
      </c>
      <c r="B116" s="102" t="s">
        <v>513</v>
      </c>
      <c r="C116" s="101"/>
      <c r="D116">
        <v>520.03800000000001</v>
      </c>
    </row>
    <row r="117" spans="1:14" ht="15" thickBot="1" x14ac:dyDescent="0.4">
      <c r="A117" s="101" t="s">
        <v>619</v>
      </c>
      <c r="B117" s="102" t="s">
        <v>513</v>
      </c>
      <c r="C117" s="101"/>
      <c r="D117">
        <v>185696</v>
      </c>
    </row>
    <row r="118" spans="1:14" ht="15" thickBot="1" x14ac:dyDescent="0.4">
      <c r="A118" s="48" t="s">
        <v>592</v>
      </c>
      <c r="B118" s="46"/>
      <c r="C118" s="46"/>
    </row>
    <row r="119" spans="1:14" ht="15" thickBot="1" x14ac:dyDescent="0.4">
      <c r="A119" s="66" t="s">
        <v>514</v>
      </c>
      <c r="B119" s="47"/>
      <c r="C119" s="47"/>
    </row>
    <row r="120" spans="1:14" ht="15" thickBot="1" x14ac:dyDescent="0.4">
      <c r="A120" s="100" t="s">
        <v>507</v>
      </c>
      <c r="B120" s="100" t="s">
        <v>513</v>
      </c>
      <c r="C120" s="55"/>
      <c r="D120">
        <f>D115</f>
        <v>186216.038</v>
      </c>
      <c r="L120" s="47"/>
      <c r="M120" s="47"/>
      <c r="N120" s="47"/>
    </row>
    <row r="121" spans="1:14" ht="15" thickBot="1" x14ac:dyDescent="0.4">
      <c r="A121" s="47"/>
      <c r="B121" s="47"/>
      <c r="C121" s="47"/>
    </row>
    <row r="122" spans="1:14" ht="15" thickBot="1" x14ac:dyDescent="0.4">
      <c r="A122" s="66" t="s">
        <v>515</v>
      </c>
      <c r="B122" s="47"/>
      <c r="C122" s="67"/>
      <c r="D122">
        <f>D123+D127</f>
        <v>186216.15009022181</v>
      </c>
    </row>
    <row r="123" spans="1:14" ht="15" thickBot="1" x14ac:dyDescent="0.4">
      <c r="A123" s="105" t="s">
        <v>642</v>
      </c>
      <c r="B123" s="100" t="s">
        <v>513</v>
      </c>
      <c r="C123" s="55"/>
      <c r="D123">
        <f>SUM(D124:D125)</f>
        <v>139662.02900000001</v>
      </c>
    </row>
    <row r="124" spans="1:14" ht="15" thickBot="1" x14ac:dyDescent="0.4">
      <c r="A124" s="101" t="s">
        <v>624</v>
      </c>
      <c r="B124" s="102" t="s">
        <v>513</v>
      </c>
      <c r="C124" s="101"/>
      <c r="D124">
        <v>390.029</v>
      </c>
    </row>
    <row r="125" spans="1:14" ht="15" thickBot="1" x14ac:dyDescent="0.4">
      <c r="A125" s="101" t="s">
        <v>619</v>
      </c>
      <c r="B125" s="102" t="s">
        <v>513</v>
      </c>
      <c r="C125" s="101"/>
      <c r="D125">
        <v>139272</v>
      </c>
    </row>
    <row r="126" spans="1:14" ht="15" thickBot="1" x14ac:dyDescent="0.4">
      <c r="A126" s="47"/>
      <c r="B126" s="47"/>
      <c r="C126" s="47"/>
    </row>
    <row r="127" spans="1:14" ht="15" thickBot="1" x14ac:dyDescent="0.4">
      <c r="A127" s="100" t="s">
        <v>643</v>
      </c>
      <c r="B127" s="100" t="s">
        <v>513</v>
      </c>
      <c r="C127" s="55"/>
      <c r="D127">
        <v>46554.121090221801</v>
      </c>
    </row>
    <row r="128" spans="1:14" ht="15" thickBot="1" x14ac:dyDescent="0.4">
      <c r="A128" s="48" t="s">
        <v>594</v>
      </c>
      <c r="B128" s="46"/>
      <c r="C128" s="46"/>
    </row>
    <row r="129" spans="1:14" ht="15" thickBot="1" x14ac:dyDescent="0.4">
      <c r="A129" s="58" t="s">
        <v>515</v>
      </c>
      <c r="B129" s="47"/>
      <c r="C129" s="112"/>
    </row>
    <row r="130" spans="1:14" ht="15" thickBot="1" x14ac:dyDescent="0.4">
      <c r="A130" s="49" t="s">
        <v>644</v>
      </c>
      <c r="B130" s="49" t="s">
        <v>513</v>
      </c>
      <c r="C130" s="113"/>
      <c r="D130">
        <f>SUM(D131:D132)</f>
        <v>227.73450390144998</v>
      </c>
      <c r="L130" s="47"/>
      <c r="M130" s="47"/>
      <c r="N130" s="47"/>
    </row>
    <row r="131" spans="1:14" ht="15" thickBot="1" x14ac:dyDescent="0.4">
      <c r="A131" s="59" t="s">
        <v>645</v>
      </c>
      <c r="B131" s="59" t="s">
        <v>513</v>
      </c>
      <c r="C131" s="114"/>
      <c r="D131">
        <v>171.34979999999999</v>
      </c>
    </row>
    <row r="132" spans="1:14" ht="15" thickBot="1" x14ac:dyDescent="0.4">
      <c r="A132" s="59" t="s">
        <v>646</v>
      </c>
      <c r="B132" s="59" t="s">
        <v>513</v>
      </c>
      <c r="C132" s="114"/>
      <c r="D132">
        <v>56.384703901450003</v>
      </c>
    </row>
    <row r="133" spans="1:14" ht="15" thickBot="1" x14ac:dyDescent="0.4">
      <c r="A133" s="49"/>
      <c r="B133" s="49"/>
      <c r="C133" s="112"/>
    </row>
    <row r="134" spans="1:14" ht="15" thickBot="1" x14ac:dyDescent="0.4">
      <c r="A134" s="48" t="s">
        <v>599</v>
      </c>
      <c r="B134" s="46"/>
      <c r="C134" s="46"/>
    </row>
    <row r="135" spans="1:14" ht="15" thickBot="1" x14ac:dyDescent="0.4">
      <c r="A135" s="58" t="s">
        <v>514</v>
      </c>
      <c r="B135" s="49"/>
      <c r="C135" s="115"/>
      <c r="D135">
        <f>D136+D137</f>
        <v>7939.8759102576196</v>
      </c>
    </row>
    <row r="136" spans="1:14" ht="15" thickBot="1" x14ac:dyDescent="0.4">
      <c r="A136" s="49" t="s">
        <v>647</v>
      </c>
      <c r="B136" s="49" t="s">
        <v>513</v>
      </c>
      <c r="C136" s="52"/>
      <c r="D136">
        <f>D111</f>
        <v>7712.1414063561697</v>
      </c>
    </row>
    <row r="137" spans="1:14" ht="15" thickBot="1" x14ac:dyDescent="0.4">
      <c r="A137" s="49" t="s">
        <v>644</v>
      </c>
      <c r="B137" s="49" t="s">
        <v>513</v>
      </c>
      <c r="C137" s="52"/>
      <c r="D137">
        <f>D130</f>
        <v>227.73450390144998</v>
      </c>
    </row>
    <row r="138" spans="1:14" ht="15" thickBot="1" x14ac:dyDescent="0.4">
      <c r="A138" s="47"/>
      <c r="B138" s="47"/>
      <c r="C138" s="47"/>
      <c r="G138" t="s">
        <v>1240</v>
      </c>
      <c r="H138" t="s">
        <v>1239</v>
      </c>
    </row>
    <row r="139" spans="1:14" ht="15" thickBot="1" x14ac:dyDescent="0.4">
      <c r="A139" s="58" t="s">
        <v>515</v>
      </c>
      <c r="B139" s="47"/>
      <c r="C139" s="47"/>
      <c r="F139" t="s">
        <v>1253</v>
      </c>
      <c r="G139">
        <f>H139*D136/1000</f>
        <v>3.1619779766060292</v>
      </c>
      <c r="H139">
        <v>0.41</v>
      </c>
      <c r="I139" t="s">
        <v>1238</v>
      </c>
    </row>
    <row r="140" spans="1:14" ht="15" thickBot="1" x14ac:dyDescent="0.4">
      <c r="A140" s="49" t="s">
        <v>648</v>
      </c>
      <c r="B140" s="49" t="s">
        <v>513</v>
      </c>
      <c r="C140" s="52"/>
      <c r="D140">
        <f>SUM(D141:D144)</f>
        <v>7939.8784078028993</v>
      </c>
    </row>
    <row r="141" spans="1:14" ht="15" thickBot="1" x14ac:dyDescent="0.4">
      <c r="A141" s="108" t="s">
        <v>624</v>
      </c>
      <c r="B141" s="109" t="s">
        <v>513</v>
      </c>
      <c r="C141" s="108"/>
      <c r="D141">
        <v>7158.65</v>
      </c>
      <c r="L141" s="48" t="s">
        <v>660</v>
      </c>
      <c r="M141" s="46"/>
      <c r="N141" s="46"/>
    </row>
    <row r="142" spans="1:14" ht="15" thickBot="1" x14ac:dyDescent="0.4">
      <c r="A142" s="108" t="s">
        <v>619</v>
      </c>
      <c r="B142" s="109" t="s">
        <v>513</v>
      </c>
      <c r="C142" s="108"/>
      <c r="D142">
        <v>668.45899999999995</v>
      </c>
      <c r="L142" s="66" t="s">
        <v>514</v>
      </c>
      <c r="M142" s="47"/>
      <c r="N142" s="67">
        <f>N143+N146+N187+N188</f>
        <v>90220.330026373093</v>
      </c>
    </row>
    <row r="143" spans="1:14" ht="15" thickBot="1" x14ac:dyDescent="0.4">
      <c r="A143" s="108" t="s">
        <v>620</v>
      </c>
      <c r="B143" s="109" t="s">
        <v>513</v>
      </c>
      <c r="C143" s="108"/>
      <c r="D143">
        <v>0</v>
      </c>
      <c r="L143" s="100" t="s">
        <v>509</v>
      </c>
      <c r="M143" s="100" t="s">
        <v>513</v>
      </c>
      <c r="N143" s="55">
        <v>7476.9843423859502</v>
      </c>
    </row>
    <row r="144" spans="1:14" ht="15" thickBot="1" x14ac:dyDescent="0.4">
      <c r="A144" s="108" t="s">
        <v>641</v>
      </c>
      <c r="B144" s="109" t="s">
        <v>513</v>
      </c>
      <c r="C144" s="108"/>
      <c r="D144">
        <v>112.76940780290001</v>
      </c>
      <c r="L144" s="102" t="s">
        <v>661</v>
      </c>
      <c r="M144" s="102" t="s">
        <v>513</v>
      </c>
      <c r="N144" s="55">
        <v>6042.7455796409104</v>
      </c>
    </row>
    <row r="145" spans="1:14" ht="15" thickBot="1" x14ac:dyDescent="0.4">
      <c r="A145" s="48" t="s">
        <v>605</v>
      </c>
      <c r="B145" s="46"/>
      <c r="C145" s="46"/>
      <c r="L145" s="102" t="s">
        <v>620</v>
      </c>
      <c r="M145" s="102" t="s">
        <v>513</v>
      </c>
      <c r="N145" s="55">
        <v>1434.23876274504</v>
      </c>
    </row>
    <row r="146" spans="1:14" ht="15" thickBot="1" x14ac:dyDescent="0.4">
      <c r="A146" s="58" t="s">
        <v>514</v>
      </c>
      <c r="B146" s="47"/>
      <c r="C146" s="47"/>
      <c r="L146" s="100" t="s">
        <v>662</v>
      </c>
      <c r="M146" s="100" t="s">
        <v>513</v>
      </c>
      <c r="N146" s="55">
        <v>6751.3994591870396</v>
      </c>
    </row>
    <row r="147" spans="1:14" ht="15" thickBot="1" x14ac:dyDescent="0.4">
      <c r="A147" s="49" t="s">
        <v>648</v>
      </c>
      <c r="B147" s="49" t="s">
        <v>513</v>
      </c>
      <c r="C147" s="52"/>
      <c r="D147">
        <f>D140</f>
        <v>7939.8784078028993</v>
      </c>
      <c r="L147" s="120" t="s">
        <v>686</v>
      </c>
      <c r="N147">
        <v>366.47322196881402</v>
      </c>
    </row>
    <row r="148" spans="1:14" ht="15" thickBot="1" x14ac:dyDescent="0.4">
      <c r="A148" s="47"/>
      <c r="B148" s="47"/>
      <c r="C148" s="47"/>
      <c r="L148" s="120" t="s">
        <v>191</v>
      </c>
      <c r="N148">
        <v>71.364628688424702</v>
      </c>
    </row>
    <row r="149" spans="1:14" ht="15" thickBot="1" x14ac:dyDescent="0.4">
      <c r="A149" s="58" t="s">
        <v>515</v>
      </c>
      <c r="B149" s="47"/>
      <c r="C149" s="47"/>
      <c r="L149" s="120" t="s">
        <v>180</v>
      </c>
      <c r="N149">
        <v>2.3339886465352402</v>
      </c>
    </row>
    <row r="150" spans="1:14" ht="15" thickBot="1" x14ac:dyDescent="0.4">
      <c r="A150" s="49" t="s">
        <v>649</v>
      </c>
      <c r="B150" s="49" t="s">
        <v>513</v>
      </c>
      <c r="C150" s="52"/>
      <c r="D150">
        <f>D140</f>
        <v>7939.8784078028993</v>
      </c>
      <c r="L150" s="120" t="s">
        <v>129</v>
      </c>
      <c r="N150">
        <v>0.204455979938131</v>
      </c>
    </row>
    <row r="151" spans="1:14" ht="15" thickBot="1" x14ac:dyDescent="0.4">
      <c r="A151" s="48" t="s">
        <v>606</v>
      </c>
      <c r="B151" s="46"/>
      <c r="C151" s="46"/>
      <c r="L151" s="120" t="s">
        <v>131</v>
      </c>
      <c r="N151">
        <v>8.4250338729534205E-2</v>
      </c>
    </row>
    <row r="152" spans="1:14" ht="15" thickBot="1" x14ac:dyDescent="0.4">
      <c r="A152" s="58" t="s">
        <v>514</v>
      </c>
      <c r="B152" s="47"/>
      <c r="C152" s="47"/>
      <c r="L152" s="120" t="s">
        <v>132</v>
      </c>
      <c r="N152">
        <v>1.71475225817946E-2</v>
      </c>
    </row>
    <row r="153" spans="1:14" ht="15" thickBot="1" x14ac:dyDescent="0.4">
      <c r="A153" s="47" t="s">
        <v>649</v>
      </c>
      <c r="B153" s="49" t="s">
        <v>513</v>
      </c>
      <c r="C153" s="52"/>
      <c r="D153">
        <f>D150</f>
        <v>7939.8784078028993</v>
      </c>
      <c r="L153" s="121" t="s">
        <v>133</v>
      </c>
      <c r="N153">
        <v>4.38986475725546E-2</v>
      </c>
    </row>
    <row r="154" spans="1:14" ht="15" thickBot="1" x14ac:dyDescent="0.4">
      <c r="A154" s="47"/>
      <c r="B154" s="47"/>
      <c r="C154" s="47"/>
      <c r="L154" s="122" t="s">
        <v>134</v>
      </c>
      <c r="N154">
        <v>1.6942606650225601E-2</v>
      </c>
    </row>
    <row r="155" spans="1:14" ht="15" thickBot="1" x14ac:dyDescent="0.4">
      <c r="A155" s="58" t="s">
        <v>515</v>
      </c>
      <c r="B155" s="47"/>
      <c r="C155" s="70"/>
      <c r="D155">
        <f>D156+D157+D158</f>
        <v>7939.8770262569569</v>
      </c>
      <c r="L155" s="122" t="s">
        <v>135</v>
      </c>
      <c r="N155">
        <v>0.13174283529303901</v>
      </c>
    </row>
    <row r="156" spans="1:14" ht="15" thickBot="1" x14ac:dyDescent="0.4">
      <c r="A156" s="49" t="s">
        <v>650</v>
      </c>
      <c r="B156" s="49" t="s">
        <v>513</v>
      </c>
      <c r="C156" s="52"/>
      <c r="D156">
        <v>7384.8190297780002</v>
      </c>
      <c r="L156" s="122" t="s">
        <v>136</v>
      </c>
      <c r="N156">
        <v>1.04444549482559E-2</v>
      </c>
    </row>
    <row r="157" spans="1:14" ht="15" thickBot="1" x14ac:dyDescent="0.4">
      <c r="A157" s="49" t="s">
        <v>651</v>
      </c>
      <c r="B157" s="49" t="s">
        <v>513</v>
      </c>
      <c r="C157" s="52"/>
      <c r="D157">
        <v>382.86907318890701</v>
      </c>
      <c r="L157" s="122" t="s">
        <v>137</v>
      </c>
      <c r="N157">
        <v>1.6278303270835699E-2</v>
      </c>
    </row>
    <row r="158" spans="1:14" ht="15" thickBot="1" x14ac:dyDescent="0.4">
      <c r="A158" s="49" t="s">
        <v>652</v>
      </c>
      <c r="B158" s="49" t="s">
        <v>513</v>
      </c>
      <c r="C158" s="52"/>
      <c r="D158">
        <v>172.18892329004899</v>
      </c>
      <c r="L158" s="122" t="s">
        <v>149</v>
      </c>
      <c r="N158">
        <v>0.10311019246453799</v>
      </c>
    </row>
    <row r="159" spans="1:14" ht="15" thickBot="1" x14ac:dyDescent="0.4">
      <c r="A159" s="108" t="s">
        <v>641</v>
      </c>
      <c r="B159" s="109" t="s">
        <v>513</v>
      </c>
      <c r="C159" s="108"/>
      <c r="D159">
        <v>112.76940780290001</v>
      </c>
      <c r="L159" s="122" t="s">
        <v>139</v>
      </c>
      <c r="N159">
        <v>5.4209567370719497E-3</v>
      </c>
    </row>
    <row r="160" spans="1:14" ht="15" thickBot="1" x14ac:dyDescent="0.4">
      <c r="A160" s="48" t="s">
        <v>653</v>
      </c>
      <c r="B160" s="46"/>
      <c r="C160" s="46"/>
      <c r="L160" s="122" t="s">
        <v>140</v>
      </c>
      <c r="N160" s="39">
        <v>8.1073589129862594E-6</v>
      </c>
    </row>
    <row r="161" spans="1:14" ht="15" thickBot="1" x14ac:dyDescent="0.4">
      <c r="A161" s="58" t="s">
        <v>514</v>
      </c>
      <c r="B161" s="47"/>
      <c r="C161" s="47"/>
      <c r="L161" s="122" t="s">
        <v>141</v>
      </c>
      <c r="N161" s="39">
        <v>1.98354513139403E-7</v>
      </c>
    </row>
    <row r="162" spans="1:14" ht="15" thickBot="1" x14ac:dyDescent="0.4">
      <c r="A162" s="49" t="s">
        <v>560</v>
      </c>
      <c r="B162" s="49" t="s">
        <v>513</v>
      </c>
      <c r="C162" s="52"/>
      <c r="D162">
        <v>674.459292326335</v>
      </c>
      <c r="L162" s="122" t="s">
        <v>142</v>
      </c>
      <c r="N162" s="39">
        <v>7.9076898666632401E-8</v>
      </c>
    </row>
    <row r="163" spans="1:14" ht="15" thickBot="1" x14ac:dyDescent="0.4">
      <c r="A163" s="47"/>
      <c r="B163" s="47"/>
      <c r="C163" s="47"/>
      <c r="L163" s="122" t="s">
        <v>143</v>
      </c>
      <c r="N163">
        <v>0.20303196578996199</v>
      </c>
    </row>
    <row r="164" spans="1:14" ht="15" thickBot="1" x14ac:dyDescent="0.4">
      <c r="A164" s="49" t="s">
        <v>515</v>
      </c>
      <c r="B164" s="47"/>
      <c r="C164" s="115"/>
      <c r="D164">
        <f>D165+D166+D167+D168+D169</f>
        <v>674.45929232633398</v>
      </c>
      <c r="L164" s="122" t="s">
        <v>144</v>
      </c>
      <c r="N164">
        <v>0.2141829286527</v>
      </c>
    </row>
    <row r="165" spans="1:14" ht="15" thickBot="1" x14ac:dyDescent="0.4">
      <c r="A165" s="49" t="s">
        <v>654</v>
      </c>
      <c r="B165" s="49" t="s">
        <v>513</v>
      </c>
      <c r="C165" s="52"/>
      <c r="D165">
        <v>101.30385374561401</v>
      </c>
      <c r="L165" s="122" t="s">
        <v>687</v>
      </c>
      <c r="N165">
        <v>3.1523887335188898E-2</v>
      </c>
    </row>
    <row r="166" spans="1:14" ht="15" thickBot="1" x14ac:dyDescent="0.4">
      <c r="A166" s="49" t="s">
        <v>655</v>
      </c>
      <c r="B166" s="49" t="s">
        <v>513</v>
      </c>
      <c r="C166" s="52"/>
      <c r="D166">
        <v>0</v>
      </c>
      <c r="L166" s="122" t="s">
        <v>146</v>
      </c>
      <c r="N166">
        <v>5.3627394549779299E-4</v>
      </c>
    </row>
    <row r="167" spans="1:14" ht="15" thickBot="1" x14ac:dyDescent="0.4">
      <c r="A167" s="49" t="s">
        <v>656</v>
      </c>
      <c r="B167" s="49" t="s">
        <v>513</v>
      </c>
      <c r="C167" s="52"/>
      <c r="D167">
        <v>573.15543858071999</v>
      </c>
      <c r="L167" s="122" t="s">
        <v>688</v>
      </c>
      <c r="N167">
        <v>2.6615990822676898E-3</v>
      </c>
    </row>
    <row r="168" spans="1:14" ht="15" thickBot="1" x14ac:dyDescent="0.4">
      <c r="A168" s="49" t="s">
        <v>657</v>
      </c>
      <c r="B168" s="49" t="s">
        <v>513</v>
      </c>
      <c r="C168" s="52"/>
      <c r="D168">
        <v>0</v>
      </c>
      <c r="L168" s="122" t="s">
        <v>148</v>
      </c>
      <c r="N168">
        <v>8.1341285108090899E-4</v>
      </c>
    </row>
    <row r="169" spans="1:14" ht="15" thickBot="1" x14ac:dyDescent="0.4">
      <c r="A169" s="49" t="s">
        <v>658</v>
      </c>
      <c r="B169" s="49" t="s">
        <v>513</v>
      </c>
      <c r="C169" s="52"/>
      <c r="D169">
        <v>0</v>
      </c>
      <c r="L169" s="122" t="s">
        <v>150</v>
      </c>
      <c r="N169">
        <v>1.39402248676905E-4</v>
      </c>
    </row>
    <row r="170" spans="1:14" ht="15" thickBot="1" x14ac:dyDescent="0.4">
      <c r="A170" s="117" t="s">
        <v>677</v>
      </c>
      <c r="B170" s="46"/>
      <c r="C170" s="46"/>
      <c r="L170" s="122" t="s">
        <v>181</v>
      </c>
      <c r="N170" s="39">
        <v>5.6283971685838097E-5</v>
      </c>
    </row>
    <row r="171" spans="1:14" ht="15" thickBot="1" x14ac:dyDescent="0.4">
      <c r="A171" s="118" t="s">
        <v>678</v>
      </c>
      <c r="B171" s="79"/>
      <c r="C171" s="91"/>
      <c r="D171">
        <f>D172+D173+D174</f>
        <v>69421.349799999996</v>
      </c>
      <c r="L171" s="122" t="s">
        <v>182</v>
      </c>
      <c r="N171">
        <v>8.9671475803211598E-4</v>
      </c>
    </row>
    <row r="172" spans="1:14" ht="15" thickBot="1" x14ac:dyDescent="0.4">
      <c r="A172" s="100" t="s">
        <v>1068</v>
      </c>
      <c r="B172" s="100" t="s">
        <v>513</v>
      </c>
      <c r="C172" s="55"/>
      <c r="D172">
        <v>26750</v>
      </c>
      <c r="L172" s="122" t="s">
        <v>183</v>
      </c>
      <c r="N172">
        <v>1.1814177234927401E-4</v>
      </c>
    </row>
    <row r="173" spans="1:14" ht="15" thickBot="1" x14ac:dyDescent="0.4">
      <c r="A173" s="100" t="s">
        <v>510</v>
      </c>
      <c r="B173" s="100" t="s">
        <v>513</v>
      </c>
      <c r="C173" s="55"/>
      <c r="D173">
        <v>42500</v>
      </c>
      <c r="L173" s="122" t="s">
        <v>153</v>
      </c>
      <c r="N173">
        <v>1.35418855615164E-3</v>
      </c>
    </row>
    <row r="174" spans="1:14" ht="15" thickBot="1" x14ac:dyDescent="0.4">
      <c r="A174" s="100" t="s">
        <v>692</v>
      </c>
      <c r="B174" s="100" t="s">
        <v>513</v>
      </c>
      <c r="C174" s="55"/>
      <c r="D174">
        <f>D131</f>
        <v>171.34979999999999</v>
      </c>
      <c r="L174" s="122" t="s">
        <v>184</v>
      </c>
      <c r="N174">
        <v>2.1203856135785601E-4</v>
      </c>
    </row>
    <row r="175" spans="1:14" ht="15" thickBot="1" x14ac:dyDescent="0.4">
      <c r="A175" s="100" t="s">
        <v>664</v>
      </c>
      <c r="B175" s="100" t="s">
        <v>513</v>
      </c>
      <c r="C175" s="55"/>
      <c r="D175">
        <f>N188</f>
        <v>75991.946224800107</v>
      </c>
      <c r="L175" s="122" t="s">
        <v>185</v>
      </c>
      <c r="N175">
        <v>1.3622396244866101E-4</v>
      </c>
    </row>
    <row r="176" spans="1:14" ht="15" thickBot="1" x14ac:dyDescent="0.4">
      <c r="A176" s="47" t="s">
        <v>835</v>
      </c>
      <c r="B176" s="47" t="s">
        <v>513</v>
      </c>
      <c r="C176" s="47"/>
      <c r="D176">
        <f>N187</f>
        <v>0</v>
      </c>
      <c r="L176" s="122" t="s">
        <v>156</v>
      </c>
      <c r="N176" s="39">
        <v>1.9693827098007101E-8</v>
      </c>
    </row>
    <row r="177" spans="1:14" ht="15" thickBot="1" x14ac:dyDescent="0.4">
      <c r="A177" s="119" t="s">
        <v>679</v>
      </c>
      <c r="B177" s="47"/>
      <c r="C177" s="55"/>
      <c r="D177">
        <f>D178+D179+D180+D181</f>
        <v>68722.38293992386</v>
      </c>
      <c r="L177" s="122" t="s">
        <v>186</v>
      </c>
      <c r="N177" s="39">
        <v>2.2119412214442699E-8</v>
      </c>
    </row>
    <row r="178" spans="1:14" ht="15" thickBot="1" x14ac:dyDescent="0.4">
      <c r="A178" s="100" t="s">
        <v>680</v>
      </c>
      <c r="B178" s="47" t="s">
        <v>513</v>
      </c>
      <c r="C178" s="55"/>
      <c r="D178">
        <f>D156</f>
        <v>7384.8190297780002</v>
      </c>
      <c r="L178" s="122" t="s">
        <v>158</v>
      </c>
      <c r="N178" s="39">
        <v>6.9958816823607603E-6</v>
      </c>
    </row>
    <row r="179" spans="1:14" ht="15" thickBot="1" x14ac:dyDescent="0.4">
      <c r="A179" s="100" t="s">
        <v>1075</v>
      </c>
      <c r="B179" s="47" t="s">
        <v>513</v>
      </c>
      <c r="C179" s="55"/>
      <c r="D179">
        <f>D158+D65</f>
        <v>6923.5888797058951</v>
      </c>
      <c r="L179" s="122" t="s">
        <v>160</v>
      </c>
      <c r="N179" s="39">
        <v>3.87745530306123E-7</v>
      </c>
    </row>
    <row r="180" spans="1:14" ht="15" thickBot="1" x14ac:dyDescent="0.4">
      <c r="A180" s="100" t="s">
        <v>681</v>
      </c>
      <c r="B180" s="47" t="s">
        <v>513</v>
      </c>
      <c r="C180" s="55"/>
      <c r="D180">
        <f>D157+D127</f>
        <v>46936.990163410708</v>
      </c>
      <c r="L180" s="122" t="s">
        <v>187</v>
      </c>
      <c r="N180" s="39">
        <v>2.3283841880378402E-6</v>
      </c>
    </row>
    <row r="181" spans="1:14" ht="15" thickBot="1" x14ac:dyDescent="0.4">
      <c r="A181" s="100" t="s">
        <v>508</v>
      </c>
      <c r="B181" s="47" t="s">
        <v>513</v>
      </c>
      <c r="C181" s="55"/>
      <c r="D181">
        <f>D57</f>
        <v>7476.9848670292504</v>
      </c>
      <c r="L181" s="122" t="s">
        <v>188</v>
      </c>
      <c r="N181" s="39">
        <v>8.0047587040406799E-7</v>
      </c>
    </row>
    <row r="182" spans="1:14" ht="15" thickBot="1" x14ac:dyDescent="0.4">
      <c r="A182" s="117"/>
      <c r="B182" s="46"/>
      <c r="C182" s="46"/>
      <c r="L182" s="122" t="s">
        <v>189</v>
      </c>
      <c r="N182">
        <v>5941.8602755806896</v>
      </c>
    </row>
    <row r="183" spans="1:14" ht="15" thickBot="1" x14ac:dyDescent="0.4">
      <c r="A183" s="100" t="s">
        <v>682</v>
      </c>
      <c r="B183" s="47"/>
      <c r="C183" s="55"/>
      <c r="D183">
        <f>(D171-D177)/D171</f>
        <v>1.0068471184870798E-2</v>
      </c>
      <c r="L183" s="122" t="s">
        <v>689</v>
      </c>
      <c r="N183">
        <v>104.057459809517</v>
      </c>
    </row>
    <row r="184" spans="1:14" ht="15" thickBot="1" x14ac:dyDescent="0.4">
      <c r="A184" s="100"/>
      <c r="B184" s="47"/>
      <c r="C184" s="116"/>
      <c r="L184" s="122" t="s">
        <v>690</v>
      </c>
      <c r="N184">
        <v>130.07628541254101</v>
      </c>
    </row>
    <row r="185" spans="1:14" ht="15" thickBot="1" x14ac:dyDescent="0.4">
      <c r="A185" s="100"/>
      <c r="B185" s="47"/>
      <c r="C185" s="70"/>
      <c r="L185" s="122" t="s">
        <v>691</v>
      </c>
      <c r="N185">
        <v>123.554053779797</v>
      </c>
    </row>
    <row r="186" spans="1:14" ht="15" thickBot="1" x14ac:dyDescent="0.4">
      <c r="A186" s="100"/>
      <c r="B186" s="47"/>
      <c r="C186" s="70"/>
      <c r="L186" s="122" t="s">
        <v>1064</v>
      </c>
      <c r="N186">
        <v>10.5906686907619</v>
      </c>
    </row>
    <row r="187" spans="1:14" ht="15" thickBot="1" x14ac:dyDescent="0.4">
      <c r="A187" s="100"/>
      <c r="B187" s="47" t="s">
        <v>1318</v>
      </c>
      <c r="C187" s="55">
        <f>D136*8000/1000000</f>
        <v>61.69713125084936</v>
      </c>
      <c r="D187">
        <f>C187/'Demand '!B18</f>
        <v>1.0799427840162674E-2</v>
      </c>
      <c r="L187" s="100" t="s">
        <v>663</v>
      </c>
      <c r="M187" s="100" t="s">
        <v>513</v>
      </c>
      <c r="N187" s="55">
        <v>0</v>
      </c>
    </row>
    <row r="188" spans="1:14" ht="15" thickBot="1" x14ac:dyDescent="0.4">
      <c r="A188" s="55"/>
      <c r="B188" s="47" t="s">
        <v>1319</v>
      </c>
      <c r="C188" s="55">
        <f>D156*8000/1000000</f>
        <v>59.078552238223999</v>
      </c>
      <c r="D188">
        <f>C188/'Demand '!B18</f>
        <v>1.034107338320042E-2</v>
      </c>
      <c r="L188" s="100" t="s">
        <v>664</v>
      </c>
      <c r="M188" s="47"/>
      <c r="N188" s="55">
        <f>SUM(N189:N192)</f>
        <v>75991.946224800107</v>
      </c>
    </row>
    <row r="189" spans="1:14" ht="15" thickBot="1" x14ac:dyDescent="0.4">
      <c r="A189" s="55"/>
      <c r="B189" s="47"/>
      <c r="C189" s="55"/>
      <c r="L189" s="102" t="s">
        <v>665</v>
      </c>
      <c r="M189" s="102" t="s">
        <v>513</v>
      </c>
      <c r="N189" s="101">
        <v>17699.816232000001</v>
      </c>
    </row>
    <row r="190" spans="1:14" ht="15" thickBot="1" x14ac:dyDescent="0.4">
      <c r="A190" s="55"/>
      <c r="B190" s="47"/>
      <c r="C190" s="70"/>
      <c r="L190" s="102" t="s">
        <v>666</v>
      </c>
      <c r="M190" s="102" t="s">
        <v>513</v>
      </c>
      <c r="N190" s="101">
        <v>58292.129992800103</v>
      </c>
    </row>
    <row r="191" spans="1:14" ht="15" thickBot="1" x14ac:dyDescent="0.4">
      <c r="A191" s="55"/>
      <c r="B191" s="47"/>
      <c r="C191" s="70"/>
      <c r="L191" s="102" t="s">
        <v>667</v>
      </c>
      <c r="M191" s="102" t="s">
        <v>513</v>
      </c>
      <c r="N191" s="101" t="s">
        <v>659</v>
      </c>
    </row>
    <row r="192" spans="1:14" ht="15" thickBot="1" x14ac:dyDescent="0.4">
      <c r="L192" s="102" t="s">
        <v>668</v>
      </c>
      <c r="M192" s="102" t="s">
        <v>513</v>
      </c>
      <c r="N192" s="101" t="s">
        <v>659</v>
      </c>
    </row>
    <row r="193" spans="1:14" ht="15" thickBot="1" x14ac:dyDescent="0.4">
      <c r="L193" s="47"/>
      <c r="M193" s="47"/>
      <c r="N193" s="47"/>
    </row>
    <row r="194" spans="1:14" ht="15" thickBot="1" x14ac:dyDescent="0.4">
      <c r="A194" t="s">
        <v>1320</v>
      </c>
      <c r="B194">
        <v>1095.390138858</v>
      </c>
      <c r="C194" t="s">
        <v>1321</v>
      </c>
      <c r="D194">
        <f>B194/$D$172</f>
        <v>4.0949164069457943E-2</v>
      </c>
      <c r="L194" s="66" t="s">
        <v>515</v>
      </c>
      <c r="M194" s="47"/>
      <c r="N194" s="67">
        <f>N195+N201+N207</f>
        <v>90220.326164712373</v>
      </c>
    </row>
    <row r="195" spans="1:14" ht="15" thickBot="1" x14ac:dyDescent="0.4">
      <c r="B195">
        <v>3492.3175946280799</v>
      </c>
      <c r="C195" t="s">
        <v>1322</v>
      </c>
      <c r="D195">
        <f t="shared" ref="D195:D196" si="0">B195/$D$172</f>
        <v>0.13055392877114316</v>
      </c>
      <c r="L195" s="100" t="s">
        <v>669</v>
      </c>
      <c r="M195" s="100" t="s">
        <v>513</v>
      </c>
      <c r="N195" s="55">
        <f>SUM(N196:N200)</f>
        <v>88786.087401967321</v>
      </c>
    </row>
    <row r="196" spans="1:14" ht="15" thickBot="1" x14ac:dyDescent="0.4">
      <c r="B196">
        <v>2688.7754914862398</v>
      </c>
      <c r="C196" t="s">
        <v>1104</v>
      </c>
      <c r="D196">
        <f t="shared" si="0"/>
        <v>0.10051497164434542</v>
      </c>
      <c r="L196" s="102" t="s">
        <v>670</v>
      </c>
      <c r="M196" s="102" t="s">
        <v>513</v>
      </c>
      <c r="N196" s="101">
        <v>29347.498742526001</v>
      </c>
    </row>
    <row r="197" spans="1:14" ht="15" thickBot="1" x14ac:dyDescent="0.4">
      <c r="L197" s="102" t="s">
        <v>619</v>
      </c>
      <c r="M197" s="102" t="s">
        <v>513</v>
      </c>
      <c r="N197" s="101">
        <v>1127.8599999999999</v>
      </c>
    </row>
    <row r="198" spans="1:14" ht="15" thickBot="1" x14ac:dyDescent="0.4">
      <c r="L198" s="102" t="s">
        <v>671</v>
      </c>
      <c r="M198" s="102" t="s">
        <v>513</v>
      </c>
      <c r="N198" s="101">
        <v>58292.129992800103</v>
      </c>
    </row>
    <row r="199" spans="1:14" ht="15" thickBot="1" x14ac:dyDescent="0.4">
      <c r="L199" s="102" t="s">
        <v>672</v>
      </c>
      <c r="M199" s="102" t="s">
        <v>513</v>
      </c>
      <c r="N199" s="101">
        <v>15.175666641232</v>
      </c>
    </row>
    <row r="200" spans="1:14" ht="15" thickBot="1" x14ac:dyDescent="0.4">
      <c r="B200">
        <f>B196*8000/1000000/'Demand '!B18</f>
        <v>3.765132842970404E-3</v>
      </c>
      <c r="L200" s="102" t="s">
        <v>673</v>
      </c>
      <c r="M200" s="102" t="s">
        <v>513</v>
      </c>
      <c r="N200" s="101">
        <v>3.423</v>
      </c>
    </row>
    <row r="201" spans="1:14" ht="15" thickBot="1" x14ac:dyDescent="0.4">
      <c r="L201" s="100" t="s">
        <v>674</v>
      </c>
      <c r="M201" s="100" t="s">
        <v>513</v>
      </c>
      <c r="N201" s="55">
        <v>0</v>
      </c>
    </row>
    <row r="202" spans="1:14" ht="15" thickBot="1" x14ac:dyDescent="0.4">
      <c r="L202" s="102" t="s">
        <v>670</v>
      </c>
      <c r="M202" s="102" t="s">
        <v>513</v>
      </c>
      <c r="N202" s="101">
        <v>0</v>
      </c>
    </row>
    <row r="203" spans="1:14" ht="15" thickBot="1" x14ac:dyDescent="0.4">
      <c r="L203" s="102" t="s">
        <v>619</v>
      </c>
      <c r="M203" s="102" t="s">
        <v>513</v>
      </c>
      <c r="N203" s="101">
        <v>0</v>
      </c>
    </row>
    <row r="204" spans="1:14" ht="15" thickBot="1" x14ac:dyDescent="0.4">
      <c r="L204" s="102" t="s">
        <v>671</v>
      </c>
      <c r="M204" s="102" t="s">
        <v>513</v>
      </c>
      <c r="N204" s="101">
        <v>0</v>
      </c>
    </row>
    <row r="205" spans="1:14" ht="15" thickBot="1" x14ac:dyDescent="0.4">
      <c r="L205" s="102" t="s">
        <v>672</v>
      </c>
      <c r="M205" s="102" t="s">
        <v>513</v>
      </c>
      <c r="N205" s="101">
        <v>0</v>
      </c>
    </row>
    <row r="206" spans="1:14" ht="15" thickBot="1" x14ac:dyDescent="0.4">
      <c r="L206" s="102"/>
      <c r="M206" s="102"/>
      <c r="N206" s="47"/>
    </row>
    <row r="207" spans="1:14" ht="15" thickBot="1" x14ac:dyDescent="0.4">
      <c r="L207" s="100" t="s">
        <v>675</v>
      </c>
      <c r="M207" s="102" t="s">
        <v>513</v>
      </c>
      <c r="N207" s="101">
        <v>1434.2387627450501</v>
      </c>
    </row>
  </sheetData>
  <hyperlinks>
    <hyperlink ref="A15" r:id="rId1" location="rangeid=1683197145" display="https://docs.google.com/spreadsheets/d/1m0lR_lQfkmeN9bK33kXO5TYEvZGSXG9z7Usf_a0I6Xk/edit - rangeid=1683197145" xr:uid="{00000000-0004-0000-0500-000000000000}"/>
    <hyperlink ref="A123" r:id="rId2" location="rangeid=1966810199" display="https://docs.google.com/spreadsheets/d/1m0lR_lQfkmeN9bK33kXO5TYEvZGSXG9z7Usf_a0I6Xk/edit - rangeid=1966810199" xr:uid="{00000000-0004-0000-0500-000001000000}"/>
  </hyperlinks>
  <pageMargins left="0.7" right="0.7" top="0.75" bottom="0.75" header="0.3" footer="0.3"/>
  <pageSetup paperSize="9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S88"/>
  <sheetViews>
    <sheetView topLeftCell="A42" zoomScale="85" zoomScaleNormal="85" workbookViewId="0">
      <selection activeCell="B13" sqref="B13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0" max="10" width="8.726562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813</v>
      </c>
    </row>
    <row r="3" spans="1:19" x14ac:dyDescent="0.35">
      <c r="L3" t="s">
        <v>827</v>
      </c>
    </row>
    <row r="4" spans="1:19" x14ac:dyDescent="0.35">
      <c r="A4" t="s">
        <v>754</v>
      </c>
      <c r="B4">
        <v>117.498473</v>
      </c>
      <c r="K4" t="s">
        <v>832</v>
      </c>
      <c r="P4" t="s">
        <v>481</v>
      </c>
      <c r="Q4" t="s">
        <v>764</v>
      </c>
      <c r="R4" t="s">
        <v>833</v>
      </c>
      <c r="S4" t="s">
        <v>834</v>
      </c>
    </row>
    <row r="5" spans="1:19" x14ac:dyDescent="0.35">
      <c r="A5" t="s">
        <v>814</v>
      </c>
      <c r="B5">
        <v>7.7538909399999998</v>
      </c>
      <c r="C5" t="s">
        <v>1028</v>
      </c>
      <c r="K5" s="3">
        <f>P5/$P$47</f>
        <v>0</v>
      </c>
      <c r="L5" t="s">
        <v>190</v>
      </c>
      <c r="M5" t="s">
        <v>828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B6">
        <v>78.254953299999997</v>
      </c>
      <c r="K6" s="3">
        <f t="shared" ref="K6:K46" si="0">P6/$P$47</f>
        <v>5.4366353897494127E-2</v>
      </c>
      <c r="L6" t="s">
        <v>686</v>
      </c>
      <c r="M6" t="s">
        <v>828</v>
      </c>
      <c r="N6">
        <v>366.47319711243699</v>
      </c>
      <c r="P6">
        <f t="shared" ref="P6:P46" si="1">N6+O6</f>
        <v>366.47319711243699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88.077683399999998</v>
      </c>
      <c r="K7" s="3">
        <f t="shared" si="0"/>
        <v>0</v>
      </c>
      <c r="L7" t="s">
        <v>829</v>
      </c>
      <c r="M7" t="s">
        <v>828</v>
      </c>
      <c r="N7">
        <v>0</v>
      </c>
      <c r="P7">
        <f t="shared" si="1"/>
        <v>0</v>
      </c>
      <c r="Q7">
        <v>0</v>
      </c>
      <c r="R7" s="4">
        <v>0</v>
      </c>
      <c r="S7">
        <f t="shared" si="2"/>
        <v>0</v>
      </c>
    </row>
    <row r="8" spans="1:19" x14ac:dyDescent="0.35">
      <c r="B8">
        <v>871.89179300000001</v>
      </c>
      <c r="K8" s="3">
        <f t="shared" si="0"/>
        <v>1.0586952660440572E-2</v>
      </c>
      <c r="L8" t="s">
        <v>191</v>
      </c>
      <c r="M8" t="s">
        <v>828</v>
      </c>
      <c r="N8">
        <v>71.364623724168993</v>
      </c>
      <c r="P8">
        <f t="shared" si="1"/>
        <v>71.364623724168993</v>
      </c>
      <c r="Q8">
        <v>16.04</v>
      </c>
      <c r="R8" s="4">
        <v>55.5</v>
      </c>
      <c r="S8">
        <f t="shared" si="2"/>
        <v>3960.7366166913789</v>
      </c>
    </row>
    <row r="9" spans="1:19" x14ac:dyDescent="0.35">
      <c r="B9">
        <f>SUM(B4:B8)</f>
        <v>1163.4767936400001</v>
      </c>
      <c r="C9" t="s">
        <v>1028</v>
      </c>
      <c r="K9" s="3">
        <f t="shared" si="0"/>
        <v>3.462475069868878E-4</v>
      </c>
      <c r="L9" t="s">
        <v>180</v>
      </c>
      <c r="M9" t="s">
        <v>828</v>
      </c>
      <c r="N9">
        <v>2.3339882442170601</v>
      </c>
      <c r="P9">
        <f t="shared" si="1"/>
        <v>2.3339882442170601</v>
      </c>
      <c r="Q9">
        <v>84.12</v>
      </c>
      <c r="R9" s="4"/>
      <c r="S9">
        <f t="shared" si="2"/>
        <v>0</v>
      </c>
    </row>
    <row r="10" spans="1:19" x14ac:dyDescent="0.35">
      <c r="B10">
        <f>B9/'Mass balances '!D6</f>
        <v>4.7488848720000004E-2</v>
      </c>
      <c r="C10" t="s">
        <v>1070</v>
      </c>
      <c r="K10" s="3">
        <f t="shared" si="0"/>
        <v>3.0331069955830955E-5</v>
      </c>
      <c r="L10" t="s">
        <v>129</v>
      </c>
      <c r="M10" t="s">
        <v>828</v>
      </c>
      <c r="N10">
        <v>0.20445594345929999</v>
      </c>
      <c r="P10">
        <f t="shared" si="1"/>
        <v>0.20445594345929999</v>
      </c>
      <c r="Q10">
        <v>82.04</v>
      </c>
      <c r="R10" s="4"/>
      <c r="S10">
        <f t="shared" si="2"/>
        <v>0</v>
      </c>
    </row>
    <row r="11" spans="1:19" x14ac:dyDescent="0.35">
      <c r="A11" t="s">
        <v>815</v>
      </c>
      <c r="K11" s="3">
        <f t="shared" si="0"/>
        <v>1.2498548187730432E-5</v>
      </c>
      <c r="L11" t="s">
        <v>131</v>
      </c>
      <c r="M11" t="s">
        <v>828</v>
      </c>
      <c r="N11">
        <v>8.4250323688389694E-2</v>
      </c>
      <c r="P11">
        <f t="shared" si="1"/>
        <v>8.4250323688389694E-2</v>
      </c>
      <c r="Q11">
        <v>96.12</v>
      </c>
      <c r="R11" s="4"/>
      <c r="S11">
        <f t="shared" si="2"/>
        <v>0</v>
      </c>
    </row>
    <row r="12" spans="1:19" x14ac:dyDescent="0.35">
      <c r="B12" s="137"/>
      <c r="K12" s="3">
        <f t="shared" si="0"/>
        <v>2.5438370992959738E-6</v>
      </c>
      <c r="L12" t="s">
        <v>132</v>
      </c>
      <c r="M12" t="s">
        <v>828</v>
      </c>
      <c r="N12">
        <v>1.7147519520436201E-2</v>
      </c>
      <c r="P12">
        <f t="shared" si="1"/>
        <v>1.7147519520436201E-2</v>
      </c>
      <c r="Q12">
        <v>110.11</v>
      </c>
      <c r="R12" s="4"/>
      <c r="S12">
        <f t="shared" si="2"/>
        <v>0</v>
      </c>
    </row>
    <row r="13" spans="1:19" x14ac:dyDescent="0.35">
      <c r="K13" s="3">
        <f t="shared" si="0"/>
        <v>6.512369812909676E-6</v>
      </c>
      <c r="L13" t="s">
        <v>133</v>
      </c>
      <c r="M13" t="s">
        <v>828</v>
      </c>
      <c r="N13">
        <v>4.38986397839995E-2</v>
      </c>
      <c r="P13">
        <f t="shared" si="1"/>
        <v>4.38986397839995E-2</v>
      </c>
      <c r="Q13">
        <v>86.09</v>
      </c>
      <c r="R13" s="4"/>
      <c r="S13">
        <f t="shared" si="2"/>
        <v>0</v>
      </c>
    </row>
    <row r="14" spans="1:19" x14ac:dyDescent="0.35">
      <c r="A14" t="s">
        <v>816</v>
      </c>
      <c r="K14" s="3">
        <f t="shared" si="0"/>
        <v>2.5134377953734737E-6</v>
      </c>
      <c r="L14" t="s">
        <v>134</v>
      </c>
      <c r="M14" t="s">
        <v>828</v>
      </c>
      <c r="N14">
        <v>1.6942603624853499E-2</v>
      </c>
      <c r="P14">
        <f t="shared" si="1"/>
        <v>1.6942603624853499E-2</v>
      </c>
      <c r="Q14">
        <v>114.14</v>
      </c>
      <c r="R14" s="4"/>
      <c r="S14">
        <f t="shared" si="2"/>
        <v>0</v>
      </c>
    </row>
    <row r="15" spans="1:19" x14ac:dyDescent="0.35">
      <c r="A15" t="s">
        <v>817</v>
      </c>
      <c r="K15" s="3">
        <f t="shared" si="0"/>
        <v>1.9544065937778439E-5</v>
      </c>
      <c r="L15" t="s">
        <v>135</v>
      </c>
      <c r="M15" t="s">
        <v>828</v>
      </c>
      <c r="N15">
        <v>0.13174281178205099</v>
      </c>
      <c r="P15">
        <f t="shared" si="1"/>
        <v>0.13174281178205099</v>
      </c>
      <c r="Q15">
        <v>96.13</v>
      </c>
      <c r="R15" s="4"/>
      <c r="S15">
        <f t="shared" si="2"/>
        <v>0</v>
      </c>
    </row>
    <row r="16" spans="1:19" x14ac:dyDescent="0.35">
      <c r="A16" s="138" t="s">
        <v>818</v>
      </c>
      <c r="B16">
        <v>334838.28430483199</v>
      </c>
      <c r="C16" t="s">
        <v>698</v>
      </c>
      <c r="D16">
        <v>-243271.00888243201</v>
      </c>
      <c r="E16">
        <v>2624.5723290681599</v>
      </c>
      <c r="F16">
        <v>66336.067496735996</v>
      </c>
      <c r="K16" s="3">
        <f t="shared" si="0"/>
        <v>1.5494361854369379E-6</v>
      </c>
      <c r="L16" t="s">
        <v>136</v>
      </c>
      <c r="M16" t="s">
        <v>828</v>
      </c>
      <c r="N16">
        <v>1.04444530834161E-2</v>
      </c>
      <c r="P16">
        <f t="shared" si="1"/>
        <v>1.04444530834161E-2</v>
      </c>
      <c r="Q16">
        <v>110.15</v>
      </c>
      <c r="R16" s="4"/>
      <c r="S16">
        <f t="shared" si="2"/>
        <v>0</v>
      </c>
    </row>
    <row r="17" spans="1:19" x14ac:dyDescent="0.35">
      <c r="A17" t="s">
        <v>1069</v>
      </c>
      <c r="B17">
        <v>11613.559462259</v>
      </c>
      <c r="C17" t="s">
        <v>698</v>
      </c>
      <c r="D17">
        <v>-26.182932394075198</v>
      </c>
      <c r="K17" s="3">
        <f t="shared" si="0"/>
        <v>2.4148883067644956E-6</v>
      </c>
      <c r="L17" t="s">
        <v>137</v>
      </c>
      <c r="M17" t="s">
        <v>828</v>
      </c>
      <c r="N17">
        <v>1.6278300364193001E-2</v>
      </c>
      <c r="P17">
        <f t="shared" si="1"/>
        <v>1.6278300364193001E-2</v>
      </c>
      <c r="Q17">
        <v>110.15</v>
      </c>
      <c r="R17" s="4"/>
      <c r="S17">
        <f t="shared" si="2"/>
        <v>0</v>
      </c>
    </row>
    <row r="18" spans="1:19" x14ac:dyDescent="0.35">
      <c r="A18" s="4"/>
      <c r="B18">
        <f>B16+B17+D16+D17+E16+F16</f>
        <v>172115.29177806905</v>
      </c>
      <c r="C18" t="s">
        <v>698</v>
      </c>
      <c r="K18" s="3">
        <f t="shared" si="0"/>
        <v>1.5296409826124558E-5</v>
      </c>
      <c r="L18" t="s">
        <v>149</v>
      </c>
      <c r="M18" t="s">
        <v>828</v>
      </c>
      <c r="N18">
        <v>0.103110174058966</v>
      </c>
      <c r="P18">
        <f t="shared" si="1"/>
        <v>0.103110174058966</v>
      </c>
      <c r="Q18">
        <v>112.13</v>
      </c>
      <c r="R18" s="4"/>
      <c r="S18">
        <f t="shared" si="2"/>
        <v>0</v>
      </c>
    </row>
    <row r="19" spans="1:19" x14ac:dyDescent="0.35">
      <c r="B19">
        <f>B18/'Mass balances '!D27</f>
        <v>0.82685324912479063</v>
      </c>
      <c r="C19" t="s">
        <v>1071</v>
      </c>
      <c r="K19" s="3">
        <f t="shared" si="0"/>
        <v>8.0419960348063096E-7</v>
      </c>
      <c r="L19" t="s">
        <v>139</v>
      </c>
      <c r="M19" t="s">
        <v>828</v>
      </c>
      <c r="N19">
        <v>5.4209557690732902E-3</v>
      </c>
      <c r="P19">
        <f t="shared" si="1"/>
        <v>5.4209557690732902E-3</v>
      </c>
      <c r="Q19">
        <v>126.15300000000001</v>
      </c>
      <c r="R19" s="4"/>
      <c r="S19">
        <f t="shared" si="2"/>
        <v>0</v>
      </c>
    </row>
    <row r="20" spans="1:19" x14ac:dyDescent="0.35">
      <c r="K20" s="3">
        <f t="shared" si="0"/>
        <v>1.2027276990113369E-9</v>
      </c>
      <c r="L20" t="s">
        <v>140</v>
      </c>
      <c r="M20" t="s">
        <v>828</v>
      </c>
      <c r="N20" s="39">
        <v>8.1073574649390906E-6</v>
      </c>
      <c r="P20">
        <f t="shared" si="1"/>
        <v>8.1073574649390906E-6</v>
      </c>
      <c r="Q20">
        <v>166.17599999999999</v>
      </c>
      <c r="R20" s="4"/>
      <c r="S20">
        <f t="shared" si="2"/>
        <v>0</v>
      </c>
    </row>
    <row r="21" spans="1:19" x14ac:dyDescent="0.35">
      <c r="A21" t="s">
        <v>819</v>
      </c>
      <c r="K21" s="3">
        <f t="shared" si="0"/>
        <v>2.942591659401331E-11</v>
      </c>
      <c r="L21" t="s">
        <v>141</v>
      </c>
      <c r="M21" t="s">
        <v>828</v>
      </c>
      <c r="N21" s="39">
        <v>1.98354477707011E-7</v>
      </c>
      <c r="P21">
        <f t="shared" si="1"/>
        <v>1.98354477707011E-7</v>
      </c>
      <c r="Q21">
        <v>210.227</v>
      </c>
      <c r="R21" s="4"/>
      <c r="S21">
        <f t="shared" si="2"/>
        <v>0</v>
      </c>
    </row>
    <row r="22" spans="1:19" x14ac:dyDescent="0.35">
      <c r="A22" s="138" t="s">
        <v>754</v>
      </c>
      <c r="E22" t="s">
        <v>826</v>
      </c>
      <c r="G22" t="s">
        <v>811</v>
      </c>
      <c r="K22" s="3">
        <f t="shared" si="0"/>
        <v>1.173106771126752E-11</v>
      </c>
      <c r="L22" t="s">
        <v>142</v>
      </c>
      <c r="M22" t="s">
        <v>828</v>
      </c>
      <c r="N22" s="39">
        <v>7.9076884534072898E-8</v>
      </c>
      <c r="P22">
        <f t="shared" si="1"/>
        <v>7.9076884534072898E-8</v>
      </c>
      <c r="Q22">
        <v>282.45999999999998</v>
      </c>
      <c r="R22" s="4"/>
      <c r="S22">
        <f t="shared" si="2"/>
        <v>0</v>
      </c>
    </row>
    <row r="23" spans="1:19" x14ac:dyDescent="0.35">
      <c r="A23" s="13" t="s">
        <v>820</v>
      </c>
      <c r="B23">
        <v>390.779021</v>
      </c>
      <c r="C23" t="s">
        <v>1028</v>
      </c>
      <c r="E23">
        <f>B23+B24</f>
        <v>449.779021</v>
      </c>
      <c r="G23">
        <v>7.0000000000000007E-2</v>
      </c>
      <c r="H23" t="s">
        <v>822</v>
      </c>
      <c r="K23" s="3">
        <f t="shared" si="0"/>
        <v>3.0119817286393385E-5</v>
      </c>
      <c r="L23" t="s">
        <v>143</v>
      </c>
      <c r="M23" t="s">
        <v>828</v>
      </c>
      <c r="N23">
        <v>0.203031929604825</v>
      </c>
      <c r="P23">
        <f t="shared" si="1"/>
        <v>0.203031929604825</v>
      </c>
      <c r="Q23">
        <v>94</v>
      </c>
      <c r="R23" s="4"/>
      <c r="S23">
        <f t="shared" si="2"/>
        <v>0</v>
      </c>
    </row>
    <row r="24" spans="1:19" x14ac:dyDescent="0.35">
      <c r="A24" s="13" t="s">
        <v>821</v>
      </c>
      <c r="B24">
        <v>59</v>
      </c>
      <c r="C24" t="s">
        <v>1028</v>
      </c>
      <c r="E24">
        <f>E23/'Mass balances '!D135</f>
        <v>5.6648117185172271E-2</v>
      </c>
      <c r="K24" s="3">
        <f t="shared" si="0"/>
        <v>3.177406405919138E-5</v>
      </c>
      <c r="L24" t="s">
        <v>144</v>
      </c>
      <c r="M24" t="s">
        <v>828</v>
      </c>
      <c r="N24">
        <v>0.214182890818506</v>
      </c>
      <c r="P24">
        <f t="shared" si="1"/>
        <v>0.214182890818506</v>
      </c>
      <c r="Q24">
        <v>108.14</v>
      </c>
      <c r="R24" s="4"/>
      <c r="S24">
        <f t="shared" si="2"/>
        <v>0</v>
      </c>
    </row>
    <row r="25" spans="1:19" x14ac:dyDescent="0.35">
      <c r="A25" s="138" t="s">
        <v>823</v>
      </c>
      <c r="B25">
        <f>SUM(B26:F26)</f>
        <v>-6530.0262039990303</v>
      </c>
      <c r="C25" t="s">
        <v>698</v>
      </c>
      <c r="K25" s="3">
        <f t="shared" si="0"/>
        <v>4.6765725913005565E-6</v>
      </c>
      <c r="L25" t="s">
        <v>687</v>
      </c>
      <c r="M25" t="s">
        <v>828</v>
      </c>
      <c r="N25">
        <v>3.15238817062055E-2</v>
      </c>
      <c r="P25">
        <f t="shared" si="1"/>
        <v>3.15238817062055E-2</v>
      </c>
      <c r="Q25">
        <v>124.14</v>
      </c>
      <c r="R25" s="4"/>
      <c r="S25">
        <f t="shared" si="2"/>
        <v>0</v>
      </c>
    </row>
    <row r="26" spans="1:19" x14ac:dyDescent="0.35">
      <c r="B26">
        <v>469109.87319470401</v>
      </c>
      <c r="C26">
        <v>-474935.54196124797</v>
      </c>
      <c r="D26">
        <v>-686.35004442076695</v>
      </c>
      <c r="E26">
        <v>-28.470927623284801</v>
      </c>
      <c r="F26">
        <v>10.4635345889894</v>
      </c>
      <c r="K26" s="3">
        <f t="shared" si="0"/>
        <v>7.955630624627463E-8</v>
      </c>
      <c r="L26" t="s">
        <v>146</v>
      </c>
      <c r="M26" t="s">
        <v>828</v>
      </c>
      <c r="N26">
        <v>5.3627384973249496E-4</v>
      </c>
      <c r="P26">
        <f t="shared" si="1"/>
        <v>5.3627384973249496E-4</v>
      </c>
      <c r="Q26">
        <v>122.16</v>
      </c>
      <c r="R26" s="4"/>
      <c r="S26">
        <f t="shared" si="2"/>
        <v>0</v>
      </c>
    </row>
    <row r="27" spans="1:19" x14ac:dyDescent="0.35">
      <c r="K27" s="3">
        <f t="shared" si="0"/>
        <v>3.9484855356289337E-7</v>
      </c>
      <c r="L27" t="s">
        <v>688</v>
      </c>
      <c r="M27" t="s">
        <v>828</v>
      </c>
      <c r="N27">
        <v>2.66159860696644E-3</v>
      </c>
      <c r="P27">
        <f t="shared" si="1"/>
        <v>2.66159860696644E-3</v>
      </c>
      <c r="Q27">
        <v>138.16</v>
      </c>
      <c r="R27" s="4"/>
      <c r="S27">
        <f t="shared" si="2"/>
        <v>0</v>
      </c>
    </row>
    <row r="28" spans="1:19" x14ac:dyDescent="0.35">
      <c r="K28" s="3">
        <f t="shared" si="0"/>
        <v>1.2066989722364939E-7</v>
      </c>
      <c r="L28" t="s">
        <v>148</v>
      </c>
      <c r="M28" t="s">
        <v>828</v>
      </c>
      <c r="N28">
        <v>8.134127058467E-4</v>
      </c>
      <c r="P28">
        <f t="shared" si="1"/>
        <v>8.134127058467E-4</v>
      </c>
      <c r="Q28">
        <v>110.1</v>
      </c>
      <c r="R28" s="4"/>
      <c r="S28">
        <f t="shared" si="2"/>
        <v>0</v>
      </c>
    </row>
    <row r="29" spans="1:19" x14ac:dyDescent="0.35">
      <c r="K29" s="3">
        <f t="shared" si="0"/>
        <v>2.0680340859299476E-8</v>
      </c>
      <c r="L29" t="s">
        <v>150</v>
      </c>
      <c r="M29" t="s">
        <v>828</v>
      </c>
      <c r="N29">
        <v>1.3940222377928799E-4</v>
      </c>
      <c r="P29">
        <f t="shared" si="1"/>
        <v>1.3940222377928799E-4</v>
      </c>
      <c r="Q29">
        <v>140.13659999999999</v>
      </c>
      <c r="R29" s="4"/>
      <c r="S29">
        <f t="shared" si="2"/>
        <v>0</v>
      </c>
    </row>
    <row r="30" spans="1:19" x14ac:dyDescent="0.35">
      <c r="K30" s="3">
        <f t="shared" si="0"/>
        <v>8.3497341717559477E-9</v>
      </c>
      <c r="L30" t="s">
        <v>181</v>
      </c>
      <c r="M30" t="s">
        <v>828</v>
      </c>
      <c r="N30" s="39">
        <v>5.6283961634282203E-5</v>
      </c>
      <c r="P30">
        <f t="shared" si="1"/>
        <v>5.6283961634282203E-5</v>
      </c>
      <c r="Q30">
        <v>124.13720000000001</v>
      </c>
      <c r="R30" s="4"/>
      <c r="S30">
        <f t="shared" si="2"/>
        <v>0</v>
      </c>
    </row>
    <row r="31" spans="1:19" x14ac:dyDescent="0.35">
      <c r="K31" s="3">
        <f t="shared" si="0"/>
        <v>1.3302774543293179E-7</v>
      </c>
      <c r="L31" t="s">
        <v>182</v>
      </c>
      <c r="M31" t="s">
        <v>828</v>
      </c>
      <c r="N31">
        <v>8.9671459788133695E-4</v>
      </c>
      <c r="P31">
        <f t="shared" si="1"/>
        <v>8.9671459788133695E-4</v>
      </c>
      <c r="Q31">
        <v>152.19</v>
      </c>
      <c r="R31" s="4"/>
      <c r="S31">
        <f t="shared" si="2"/>
        <v>0</v>
      </c>
    </row>
    <row r="32" spans="1:19" x14ac:dyDescent="0.35">
      <c r="A32" t="s">
        <v>824</v>
      </c>
      <c r="B32">
        <f>B9</f>
        <v>1163.4767936400001</v>
      </c>
      <c r="C32" t="s">
        <v>694</v>
      </c>
      <c r="K32" s="3">
        <f t="shared" si="0"/>
        <v>1.7526346562750775E-8</v>
      </c>
      <c r="L32" t="s">
        <v>183</v>
      </c>
      <c r="M32" t="s">
        <v>828</v>
      </c>
      <c r="N32">
        <v>1.1814175125045301E-4</v>
      </c>
      <c r="P32">
        <f t="shared" si="1"/>
        <v>1.1814175125045301E-4</v>
      </c>
      <c r="Q32">
        <v>124.13720000000001</v>
      </c>
      <c r="R32" s="4"/>
      <c r="S32">
        <f t="shared" si="2"/>
        <v>0</v>
      </c>
    </row>
    <row r="33" spans="1:19" x14ac:dyDescent="0.35">
      <c r="A33" t="s">
        <v>825</v>
      </c>
      <c r="B33" s="137">
        <f>B12+B18</f>
        <v>172115.29177806905</v>
      </c>
      <c r="C33" t="s">
        <v>698</v>
      </c>
      <c r="K33" s="3">
        <f t="shared" si="0"/>
        <v>2.00894040052913E-7</v>
      </c>
      <c r="L33" t="s">
        <v>153</v>
      </c>
      <c r="M33" t="s">
        <v>828</v>
      </c>
      <c r="N33">
        <v>1.3541883142988999E-3</v>
      </c>
      <c r="P33">
        <f t="shared" si="1"/>
        <v>1.3541883142988999E-3</v>
      </c>
      <c r="Q33">
        <v>154.16</v>
      </c>
      <c r="R33" s="4"/>
      <c r="S33">
        <f t="shared" si="2"/>
        <v>0</v>
      </c>
    </row>
    <row r="34" spans="1:19" x14ac:dyDescent="0.35">
      <c r="J34" s="14"/>
      <c r="K34" s="3">
        <f t="shared" si="0"/>
        <v>3.1455946842785802E-8</v>
      </c>
      <c r="L34" t="s">
        <v>184</v>
      </c>
      <c r="M34" t="s">
        <v>828</v>
      </c>
      <c r="N34">
        <v>2.1203852348475999E-4</v>
      </c>
      <c r="P34">
        <f t="shared" si="1"/>
        <v>2.1203852348475999E-4</v>
      </c>
      <c r="Q34">
        <v>164.2</v>
      </c>
      <c r="R34" s="4"/>
      <c r="S34">
        <f t="shared" si="2"/>
        <v>0</v>
      </c>
    </row>
    <row r="35" spans="1:19" x14ac:dyDescent="0.35">
      <c r="K35" s="3">
        <f t="shared" si="0"/>
        <v>2.0208841703307184E-8</v>
      </c>
      <c r="L35" t="s">
        <v>185</v>
      </c>
      <c r="M35" t="s">
        <v>828</v>
      </c>
      <c r="N35">
        <v>1.3622393811646601E-4</v>
      </c>
      <c r="P35">
        <f t="shared" si="1"/>
        <v>1.3622393811646601E-4</v>
      </c>
      <c r="Q35">
        <v>166.21700000000001</v>
      </c>
      <c r="R35" s="4"/>
      <c r="S35">
        <f t="shared" si="2"/>
        <v>0</v>
      </c>
    </row>
    <row r="36" spans="1:19" x14ac:dyDescent="0.35">
      <c r="K36" s="3">
        <f t="shared" si="0"/>
        <v>2.9215816891928836E-12</v>
      </c>
      <c r="L36" t="s">
        <v>156</v>
      </c>
      <c r="M36" t="s">
        <v>828</v>
      </c>
      <c r="N36" s="39">
        <v>1.9693823578502301E-8</v>
      </c>
      <c r="P36">
        <f t="shared" si="1"/>
        <v>1.9693823578502301E-8</v>
      </c>
      <c r="Q36">
        <v>256.39999999999998</v>
      </c>
      <c r="R36" s="4"/>
      <c r="S36">
        <f t="shared" si="2"/>
        <v>0</v>
      </c>
    </row>
    <row r="37" spans="1:19" x14ac:dyDescent="0.35">
      <c r="K37" s="3">
        <f t="shared" si="0"/>
        <v>3.2814175416132878E-12</v>
      </c>
      <c r="L37" t="s">
        <v>186</v>
      </c>
      <c r="M37" t="s">
        <v>828</v>
      </c>
      <c r="N37" s="39">
        <v>2.21194082612791E-8</v>
      </c>
      <c r="P37">
        <f t="shared" si="1"/>
        <v>2.21194082612791E-8</v>
      </c>
      <c r="Q37">
        <v>282.45999999999998</v>
      </c>
      <c r="R37" s="4"/>
      <c r="S37">
        <f t="shared" si="2"/>
        <v>0</v>
      </c>
    </row>
    <row r="38" spans="1:19" x14ac:dyDescent="0.35">
      <c r="A38" t="s">
        <v>660</v>
      </c>
      <c r="K38" s="3">
        <f t="shared" si="0"/>
        <v>1.0378399140447E-9</v>
      </c>
      <c r="L38" t="s">
        <v>158</v>
      </c>
      <c r="M38" t="s">
        <v>828</v>
      </c>
      <c r="N38" s="39">
        <v>6.99588043200353E-6</v>
      </c>
      <c r="P38">
        <f t="shared" si="1"/>
        <v>6.99588043200353E-6</v>
      </c>
      <c r="Q38">
        <v>270.45</v>
      </c>
      <c r="S38">
        <f t="shared" si="2"/>
        <v>0</v>
      </c>
    </row>
    <row r="39" spans="1:19" x14ac:dyDescent="0.35">
      <c r="A39" t="s">
        <v>713</v>
      </c>
      <c r="B39" t="s">
        <v>698</v>
      </c>
      <c r="C39">
        <f>S47</f>
        <v>232245.81602812931</v>
      </c>
      <c r="K39" s="3">
        <f t="shared" si="0"/>
        <v>5.752209744499862E-11</v>
      </c>
      <c r="L39" t="s">
        <v>160</v>
      </c>
      <c r="M39" t="s">
        <v>828</v>
      </c>
      <c r="N39" s="39">
        <v>3.8774546100751902E-7</v>
      </c>
      <c r="P39">
        <f t="shared" si="1"/>
        <v>3.8774546100751902E-7</v>
      </c>
      <c r="Q39">
        <v>294.5</v>
      </c>
      <c r="S39">
        <f t="shared" si="2"/>
        <v>0</v>
      </c>
    </row>
    <row r="40" spans="1:19" x14ac:dyDescent="0.35">
      <c r="A40" t="s">
        <v>715</v>
      </c>
      <c r="B40" t="s">
        <v>698</v>
      </c>
      <c r="C40">
        <f>C39*'Process variables '!G19</f>
        <v>185796.65282250347</v>
      </c>
      <c r="K40" s="3">
        <f t="shared" si="0"/>
        <v>3.4541608267615572E-10</v>
      </c>
      <c r="L40" t="s">
        <v>187</v>
      </c>
      <c r="M40" t="s">
        <v>828</v>
      </c>
      <c r="N40" s="39">
        <v>2.3283837719016002E-6</v>
      </c>
      <c r="P40">
        <f t="shared" si="1"/>
        <v>2.3283837719016002E-6</v>
      </c>
      <c r="Q40">
        <v>296.5</v>
      </c>
      <c r="S40">
        <f t="shared" si="2"/>
        <v>0</v>
      </c>
    </row>
    <row r="41" spans="1:19" x14ac:dyDescent="0.35">
      <c r="A41" t="s">
        <v>717</v>
      </c>
      <c r="B41" t="s">
        <v>702</v>
      </c>
      <c r="C41">
        <f>(C40*'Process variables '!G21)/3.6</f>
        <v>41288.145071667444</v>
      </c>
      <c r="K41" s="3">
        <f t="shared" si="0"/>
        <v>1.1875069451694226E-10</v>
      </c>
      <c r="L41" t="s">
        <v>188</v>
      </c>
      <c r="M41" t="s">
        <v>828</v>
      </c>
      <c r="N41" s="39">
        <v>8.0047572734047298E-7</v>
      </c>
      <c r="P41">
        <f t="shared" si="1"/>
        <v>8.0047572734047298E-7</v>
      </c>
      <c r="Q41">
        <v>296.5</v>
      </c>
      <c r="S41">
        <f t="shared" si="2"/>
        <v>0</v>
      </c>
    </row>
    <row r="42" spans="1:19" x14ac:dyDescent="0.35">
      <c r="A42" t="s">
        <v>719</v>
      </c>
      <c r="K42" s="3">
        <f t="shared" si="0"/>
        <v>0</v>
      </c>
      <c r="L42" t="s">
        <v>830</v>
      </c>
      <c r="M42" t="s">
        <v>828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720</v>
      </c>
      <c r="B43" t="s">
        <v>702</v>
      </c>
      <c r="C43">
        <f>B32</f>
        <v>1163.4767936400001</v>
      </c>
      <c r="K43" s="3">
        <f t="shared" si="0"/>
        <v>0.88147580211460974</v>
      </c>
      <c r="L43" t="s">
        <v>189</v>
      </c>
      <c r="M43" t="s">
        <v>828</v>
      </c>
      <c r="N43">
        <v>5941.8598493337704</v>
      </c>
      <c r="P43">
        <f t="shared" si="1"/>
        <v>5941.8598493337704</v>
      </c>
      <c r="Q43">
        <v>44.01</v>
      </c>
      <c r="S43">
        <f t="shared" si="2"/>
        <v>0</v>
      </c>
    </row>
    <row r="44" spans="1:19" x14ac:dyDescent="0.35">
      <c r="A44" t="s">
        <v>720</v>
      </c>
      <c r="B44" t="s">
        <v>698</v>
      </c>
      <c r="C44">
        <f>C43*3.6</f>
        <v>4188.5164571040004</v>
      </c>
      <c r="K44" s="3">
        <f t="shared" si="0"/>
        <v>1.5436938735581201E-2</v>
      </c>
      <c r="L44" t="s">
        <v>689</v>
      </c>
      <c r="M44" t="s">
        <v>828</v>
      </c>
      <c r="N44">
        <v>104.05745256935499</v>
      </c>
      <c r="P44">
        <f t="shared" si="1"/>
        <v>104.05745256935499</v>
      </c>
      <c r="Q44">
        <v>30.07</v>
      </c>
      <c r="R44">
        <v>51.9</v>
      </c>
      <c r="S44">
        <f t="shared" si="2"/>
        <v>5400.5817883495238</v>
      </c>
    </row>
    <row r="45" spans="1:19" x14ac:dyDescent="0.35">
      <c r="A45" t="s">
        <v>723</v>
      </c>
      <c r="B45" t="s">
        <v>698</v>
      </c>
      <c r="C45">
        <f>C44/'Process variables '!G21</f>
        <v>5235.6455713800005</v>
      </c>
      <c r="K45" s="3">
        <f t="shared" si="0"/>
        <v>1.929683515878754E-2</v>
      </c>
      <c r="L45" t="s">
        <v>690</v>
      </c>
      <c r="M45" t="s">
        <v>828</v>
      </c>
      <c r="N45">
        <v>130.07627636986899</v>
      </c>
      <c r="P45">
        <f t="shared" si="1"/>
        <v>130.07627636986899</v>
      </c>
      <c r="Q45">
        <v>58.12</v>
      </c>
      <c r="R45">
        <v>49.5</v>
      </c>
      <c r="S45">
        <f t="shared" si="2"/>
        <v>6438.7756803085149</v>
      </c>
    </row>
    <row r="46" spans="1:19" x14ac:dyDescent="0.35">
      <c r="A46" t="s">
        <v>725</v>
      </c>
      <c r="B46" t="s">
        <v>698</v>
      </c>
      <c r="C46">
        <v>0</v>
      </c>
      <c r="K46" s="3">
        <f t="shared" si="0"/>
        <v>1.832926118208331E-2</v>
      </c>
      <c r="L46" t="s">
        <v>691</v>
      </c>
      <c r="M46" t="s">
        <v>828</v>
      </c>
      <c r="N46">
        <v>123.554045187065</v>
      </c>
      <c r="P46">
        <f t="shared" si="1"/>
        <v>123.554045187065</v>
      </c>
      <c r="Q46">
        <v>44.1</v>
      </c>
      <c r="R46">
        <v>50.35</v>
      </c>
      <c r="S46">
        <f t="shared" si="2"/>
        <v>6220.9461751687231</v>
      </c>
    </row>
    <row r="47" spans="1:19" x14ac:dyDescent="0.35">
      <c r="A47" t="s">
        <v>726</v>
      </c>
      <c r="B47" t="s">
        <v>698</v>
      </c>
      <c r="C47">
        <f>C40-C45</f>
        <v>180561.00725112346</v>
      </c>
      <c r="O47" t="s">
        <v>831</v>
      </c>
      <c r="P47">
        <f>SUM(P5:P46)</f>
        <v>6740.8088061857061</v>
      </c>
      <c r="S47">
        <f>SUM(S5:S46)+S51</f>
        <v>232245.81602812931</v>
      </c>
    </row>
    <row r="48" spans="1:19" x14ac:dyDescent="0.35">
      <c r="A48" t="s">
        <v>727</v>
      </c>
      <c r="B48" t="s">
        <v>698</v>
      </c>
      <c r="C48" s="137">
        <f>B33</f>
        <v>172115.29177806905</v>
      </c>
      <c r="L48" t="s">
        <v>835</v>
      </c>
      <c r="Q48">
        <v>50</v>
      </c>
      <c r="R48" t="s">
        <v>558</v>
      </c>
    </row>
    <row r="49" spans="1:19" x14ac:dyDescent="0.35">
      <c r="A49" t="s">
        <v>728</v>
      </c>
      <c r="C49">
        <f>C48*'Process variables '!C4</f>
        <v>137692.23342245523</v>
      </c>
      <c r="L49" s="141" t="s">
        <v>836</v>
      </c>
      <c r="M49" s="142">
        <v>2.8</v>
      </c>
      <c r="N49" s="143" t="s">
        <v>558</v>
      </c>
    </row>
    <row r="50" spans="1:19" x14ac:dyDescent="0.35">
      <c r="A50" t="s">
        <v>729</v>
      </c>
      <c r="B50" t="s">
        <v>698</v>
      </c>
      <c r="C50" s="137">
        <f>C48-C49</f>
        <v>34423.058355613815</v>
      </c>
    </row>
    <row r="51" spans="1:19" x14ac:dyDescent="0.35">
      <c r="A51" t="s">
        <v>730</v>
      </c>
      <c r="B51" t="s">
        <v>698</v>
      </c>
      <c r="C51">
        <f>C47</f>
        <v>180561.00725112346</v>
      </c>
      <c r="L51" t="s">
        <v>972</v>
      </c>
      <c r="M51" t="s">
        <v>973</v>
      </c>
      <c r="N51">
        <f>'Mass balances '!D36</f>
        <v>7476.9848670292504</v>
      </c>
      <c r="P51">
        <f>N51</f>
        <v>7476.9848670292504</v>
      </c>
      <c r="Q51">
        <v>12</v>
      </c>
      <c r="R51" s="211">
        <f>'Background information'!B34</f>
        <v>28.116250000000001</v>
      </c>
      <c r="S51">
        <f>R51*P51</f>
        <v>210224.77576761117</v>
      </c>
    </row>
    <row r="52" spans="1:19" x14ac:dyDescent="0.35">
      <c r="A52" t="s">
        <v>731</v>
      </c>
      <c r="B52" t="s">
        <v>698</v>
      </c>
      <c r="C52" s="137">
        <v>0</v>
      </c>
    </row>
    <row r="53" spans="1:19" x14ac:dyDescent="0.35">
      <c r="A53" t="s">
        <v>732</v>
      </c>
      <c r="B53" t="s">
        <v>513</v>
      </c>
      <c r="C53">
        <v>0</v>
      </c>
    </row>
    <row r="54" spans="1:19" x14ac:dyDescent="0.35">
      <c r="A54" t="s">
        <v>733</v>
      </c>
      <c r="B54" t="s">
        <v>698</v>
      </c>
      <c r="C54" s="137">
        <f>C47-C50</f>
        <v>146137.94889550965</v>
      </c>
    </row>
    <row r="55" spans="1:19" x14ac:dyDescent="0.35">
      <c r="A55" t="s">
        <v>734</v>
      </c>
      <c r="B55" t="s">
        <v>702</v>
      </c>
      <c r="C55">
        <f>C54*'Process variables '!G21/3.6</f>
        <v>32475.099754557701</v>
      </c>
    </row>
    <row r="57" spans="1:19" x14ac:dyDescent="0.35">
      <c r="A57" t="s">
        <v>735</v>
      </c>
      <c r="B57" t="s">
        <v>513</v>
      </c>
      <c r="C57" s="137">
        <f>SUM(C58:C60)</f>
        <v>15367.436765899023</v>
      </c>
    </row>
    <row r="58" spans="1:19" x14ac:dyDescent="0.35">
      <c r="A58" t="s">
        <v>520</v>
      </c>
      <c r="B58" t="s">
        <v>513</v>
      </c>
      <c r="C58" s="137">
        <f>C48/M49*'Process variables '!C5</f>
        <v>13523.34435399114</v>
      </c>
    </row>
    <row r="59" spans="1:19" x14ac:dyDescent="0.35">
      <c r="A59" t="s">
        <v>737</v>
      </c>
      <c r="B59" t="s">
        <v>513</v>
      </c>
      <c r="C59" s="137">
        <f>C48/M49*0.03</f>
        <v>1844.0924119078827</v>
      </c>
    </row>
    <row r="60" spans="1:19" x14ac:dyDescent="0.35">
      <c r="A60" t="s">
        <v>739</v>
      </c>
      <c r="B60" t="s">
        <v>513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698</v>
      </c>
    </row>
    <row r="88" spans="1:4" x14ac:dyDescent="0.35">
      <c r="A88">
        <v>2.777778E-4</v>
      </c>
      <c r="B88">
        <f>B87*A88</f>
        <v>67.741363755002496</v>
      </c>
      <c r="C88" t="s">
        <v>1029</v>
      </c>
      <c r="D88" s="261"/>
    </row>
  </sheetData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399B0-10FE-4BE5-A617-1E3F17597FA3}">
  <dimension ref="A2:S88"/>
  <sheetViews>
    <sheetView topLeftCell="A42" zoomScale="85" zoomScaleNormal="85" workbookViewId="0">
      <selection activeCell="C28" sqref="C28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0" max="10" width="8.726562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813</v>
      </c>
    </row>
    <row r="3" spans="1:19" x14ac:dyDescent="0.35">
      <c r="L3" t="s">
        <v>827</v>
      </c>
    </row>
    <row r="4" spans="1:19" x14ac:dyDescent="0.35">
      <c r="A4" t="s">
        <v>754</v>
      </c>
      <c r="K4" t="s">
        <v>832</v>
      </c>
      <c r="P4" t="s">
        <v>481</v>
      </c>
      <c r="Q4" t="s">
        <v>764</v>
      </c>
      <c r="R4" t="s">
        <v>833</v>
      </c>
      <c r="S4" t="s">
        <v>834</v>
      </c>
    </row>
    <row r="5" spans="1:19" x14ac:dyDescent="0.35">
      <c r="A5" t="s">
        <v>814</v>
      </c>
      <c r="B5">
        <v>7.7538909399999998</v>
      </c>
      <c r="C5" t="s">
        <v>1028</v>
      </c>
      <c r="K5" s="3">
        <f>P5/$P$47</f>
        <v>0</v>
      </c>
      <c r="L5" t="s">
        <v>190</v>
      </c>
      <c r="M5" t="s">
        <v>828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B6">
        <v>78.254953299999997</v>
      </c>
      <c r="K6" s="3">
        <f t="shared" ref="K6:K46" si="0">P6/$P$47</f>
        <v>5.4366353897494127E-2</v>
      </c>
      <c r="L6" t="s">
        <v>686</v>
      </c>
      <c r="M6" t="s">
        <v>828</v>
      </c>
      <c r="N6">
        <v>366.47319711243699</v>
      </c>
      <c r="P6">
        <f t="shared" ref="P6:P46" si="1">N6+O6</f>
        <v>366.47319711243699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88.077683399999998</v>
      </c>
      <c r="K7" s="3">
        <f t="shared" si="0"/>
        <v>0</v>
      </c>
      <c r="L7" t="s">
        <v>829</v>
      </c>
      <c r="M7" t="s">
        <v>828</v>
      </c>
      <c r="N7">
        <v>0</v>
      </c>
      <c r="P7">
        <f t="shared" si="1"/>
        <v>0</v>
      </c>
      <c r="Q7">
        <v>0</v>
      </c>
      <c r="R7" s="4">
        <v>0</v>
      </c>
      <c r="S7">
        <f t="shared" si="2"/>
        <v>0</v>
      </c>
    </row>
    <row r="8" spans="1:19" x14ac:dyDescent="0.35">
      <c r="B8">
        <v>871.89179300000001</v>
      </c>
      <c r="K8" s="3">
        <f t="shared" si="0"/>
        <v>1.0586952660440572E-2</v>
      </c>
      <c r="L8" t="s">
        <v>191</v>
      </c>
      <c r="M8" t="s">
        <v>828</v>
      </c>
      <c r="N8">
        <v>71.364623724168993</v>
      </c>
      <c r="P8">
        <f t="shared" si="1"/>
        <v>71.364623724168993</v>
      </c>
      <c r="Q8">
        <v>16.04</v>
      </c>
      <c r="R8" s="4">
        <v>55.5</v>
      </c>
      <c r="S8">
        <f t="shared" si="2"/>
        <v>3960.7366166913789</v>
      </c>
    </row>
    <row r="9" spans="1:19" x14ac:dyDescent="0.35">
      <c r="B9">
        <f>SUM(B5:B8)</f>
        <v>1045.97832064</v>
      </c>
      <c r="C9" t="s">
        <v>1028</v>
      </c>
      <c r="K9" s="3">
        <f t="shared" si="0"/>
        <v>3.462475069868878E-4</v>
      </c>
      <c r="L9" t="s">
        <v>180</v>
      </c>
      <c r="M9" t="s">
        <v>828</v>
      </c>
      <c r="N9">
        <v>2.3339882442170601</v>
      </c>
      <c r="P9">
        <f t="shared" si="1"/>
        <v>2.3339882442170601</v>
      </c>
      <c r="Q9">
        <v>84.12</v>
      </c>
      <c r="R9" s="4"/>
      <c r="S9">
        <f t="shared" si="2"/>
        <v>0</v>
      </c>
    </row>
    <row r="10" spans="1:19" x14ac:dyDescent="0.35">
      <c r="B10">
        <f>B9/'Mass balances '!D6</f>
        <v>4.2692992679183674E-2</v>
      </c>
      <c r="C10" t="s">
        <v>1070</v>
      </c>
      <c r="K10" s="3">
        <f t="shared" si="0"/>
        <v>3.0331069955830955E-5</v>
      </c>
      <c r="L10" t="s">
        <v>129</v>
      </c>
      <c r="M10" t="s">
        <v>828</v>
      </c>
      <c r="N10">
        <v>0.20445594345929999</v>
      </c>
      <c r="P10">
        <f t="shared" si="1"/>
        <v>0.20445594345929999</v>
      </c>
      <c r="Q10">
        <v>82.04</v>
      </c>
      <c r="R10" s="4"/>
      <c r="S10">
        <f t="shared" si="2"/>
        <v>0</v>
      </c>
    </row>
    <row r="11" spans="1:19" x14ac:dyDescent="0.35">
      <c r="A11" t="s">
        <v>815</v>
      </c>
      <c r="K11" s="3">
        <f t="shared" si="0"/>
        <v>1.2498548187730432E-5</v>
      </c>
      <c r="L11" t="s">
        <v>131</v>
      </c>
      <c r="M11" t="s">
        <v>828</v>
      </c>
      <c r="N11">
        <v>8.4250323688389694E-2</v>
      </c>
      <c r="P11">
        <f t="shared" si="1"/>
        <v>8.4250323688389694E-2</v>
      </c>
      <c r="Q11">
        <v>96.12</v>
      </c>
      <c r="R11" s="4"/>
      <c r="S11">
        <f t="shared" si="2"/>
        <v>0</v>
      </c>
    </row>
    <row r="12" spans="1:19" x14ac:dyDescent="0.35">
      <c r="B12" s="137"/>
      <c r="K12" s="3">
        <f t="shared" si="0"/>
        <v>2.5438370992959738E-6</v>
      </c>
      <c r="L12" t="s">
        <v>132</v>
      </c>
      <c r="M12" t="s">
        <v>828</v>
      </c>
      <c r="N12">
        <v>1.7147519520436201E-2</v>
      </c>
      <c r="P12">
        <f t="shared" si="1"/>
        <v>1.7147519520436201E-2</v>
      </c>
      <c r="Q12">
        <v>110.11</v>
      </c>
      <c r="R12" s="4"/>
      <c r="S12">
        <f t="shared" si="2"/>
        <v>0</v>
      </c>
    </row>
    <row r="13" spans="1:19" x14ac:dyDescent="0.35">
      <c r="K13" s="3">
        <f t="shared" si="0"/>
        <v>6.512369812909676E-6</v>
      </c>
      <c r="L13" t="s">
        <v>133</v>
      </c>
      <c r="M13" t="s">
        <v>828</v>
      </c>
      <c r="N13">
        <v>4.38986397839995E-2</v>
      </c>
      <c r="P13">
        <f t="shared" si="1"/>
        <v>4.38986397839995E-2</v>
      </c>
      <c r="Q13">
        <v>86.09</v>
      </c>
      <c r="R13" s="4"/>
      <c r="S13">
        <f t="shared" si="2"/>
        <v>0</v>
      </c>
    </row>
    <row r="14" spans="1:19" x14ac:dyDescent="0.35">
      <c r="A14" t="s">
        <v>816</v>
      </c>
      <c r="K14" s="3">
        <f t="shared" si="0"/>
        <v>2.5134377953734737E-6</v>
      </c>
      <c r="L14" t="s">
        <v>134</v>
      </c>
      <c r="M14" t="s">
        <v>828</v>
      </c>
      <c r="N14">
        <v>1.6942603624853499E-2</v>
      </c>
      <c r="P14">
        <f t="shared" si="1"/>
        <v>1.6942603624853499E-2</v>
      </c>
      <c r="Q14">
        <v>114.14</v>
      </c>
      <c r="R14" s="4"/>
      <c r="S14">
        <f t="shared" si="2"/>
        <v>0</v>
      </c>
    </row>
    <row r="15" spans="1:19" x14ac:dyDescent="0.35">
      <c r="A15" t="s">
        <v>817</v>
      </c>
      <c r="K15" s="3">
        <f t="shared" si="0"/>
        <v>1.9544065937778439E-5</v>
      </c>
      <c r="L15" t="s">
        <v>135</v>
      </c>
      <c r="M15" t="s">
        <v>828</v>
      </c>
      <c r="N15">
        <v>0.13174281178205099</v>
      </c>
      <c r="P15">
        <f t="shared" si="1"/>
        <v>0.13174281178205099</v>
      </c>
      <c r="Q15">
        <v>96.13</v>
      </c>
      <c r="R15" s="4"/>
      <c r="S15">
        <f t="shared" si="2"/>
        <v>0</v>
      </c>
    </row>
    <row r="16" spans="1:19" x14ac:dyDescent="0.35">
      <c r="A16" s="138" t="s">
        <v>818</v>
      </c>
      <c r="B16">
        <v>334838.28430483199</v>
      </c>
      <c r="C16" t="s">
        <v>698</v>
      </c>
      <c r="D16">
        <v>-243271.00888243201</v>
      </c>
      <c r="E16">
        <v>2624.5723290681599</v>
      </c>
      <c r="F16">
        <v>66336.067496735996</v>
      </c>
      <c r="K16" s="3">
        <f t="shared" si="0"/>
        <v>1.5494361854369379E-6</v>
      </c>
      <c r="L16" t="s">
        <v>136</v>
      </c>
      <c r="M16" t="s">
        <v>828</v>
      </c>
      <c r="N16">
        <v>1.04444530834161E-2</v>
      </c>
      <c r="P16">
        <f t="shared" si="1"/>
        <v>1.04444530834161E-2</v>
      </c>
      <c r="Q16">
        <v>110.15</v>
      </c>
      <c r="R16" s="4"/>
      <c r="S16">
        <f t="shared" si="2"/>
        <v>0</v>
      </c>
    </row>
    <row r="17" spans="1:19" x14ac:dyDescent="0.35">
      <c r="A17" t="s">
        <v>1069</v>
      </c>
      <c r="B17">
        <v>11613.559462259</v>
      </c>
      <c r="C17" t="s">
        <v>698</v>
      </c>
      <c r="D17">
        <v>-26.182932394075198</v>
      </c>
      <c r="K17" s="3">
        <f t="shared" si="0"/>
        <v>2.4148883067644956E-6</v>
      </c>
      <c r="L17" t="s">
        <v>137</v>
      </c>
      <c r="M17" t="s">
        <v>828</v>
      </c>
      <c r="N17">
        <v>1.6278300364193001E-2</v>
      </c>
      <c r="P17">
        <f t="shared" si="1"/>
        <v>1.6278300364193001E-2</v>
      </c>
      <c r="Q17">
        <v>110.15</v>
      </c>
      <c r="R17" s="4"/>
      <c r="S17">
        <f t="shared" si="2"/>
        <v>0</v>
      </c>
    </row>
    <row r="18" spans="1:19" x14ac:dyDescent="0.35">
      <c r="A18" s="4"/>
      <c r="B18">
        <f>B16+B17+D16+D17+E16+F16</f>
        <v>172115.29177806905</v>
      </c>
      <c r="C18" t="s">
        <v>698</v>
      </c>
      <c r="K18" s="3">
        <f t="shared" si="0"/>
        <v>1.5296409826124558E-5</v>
      </c>
      <c r="L18" t="s">
        <v>149</v>
      </c>
      <c r="M18" t="s">
        <v>828</v>
      </c>
      <c r="N18">
        <v>0.103110174058966</v>
      </c>
      <c r="P18">
        <f t="shared" si="1"/>
        <v>0.103110174058966</v>
      </c>
      <c r="Q18">
        <v>112.13</v>
      </c>
      <c r="R18" s="4"/>
      <c r="S18">
        <f t="shared" si="2"/>
        <v>0</v>
      </c>
    </row>
    <row r="19" spans="1:19" x14ac:dyDescent="0.35">
      <c r="B19">
        <f>B18/'Mass balances '!D27</f>
        <v>0.82685324912479063</v>
      </c>
      <c r="C19" t="s">
        <v>1071</v>
      </c>
      <c r="K19" s="3">
        <f t="shared" si="0"/>
        <v>8.0419960348063096E-7</v>
      </c>
      <c r="L19" t="s">
        <v>139</v>
      </c>
      <c r="M19" t="s">
        <v>828</v>
      </c>
      <c r="N19">
        <v>5.4209557690732902E-3</v>
      </c>
      <c r="P19">
        <f t="shared" si="1"/>
        <v>5.4209557690732902E-3</v>
      </c>
      <c r="Q19">
        <v>126.15300000000001</v>
      </c>
      <c r="R19" s="4"/>
      <c r="S19">
        <f t="shared" si="2"/>
        <v>0</v>
      </c>
    </row>
    <row r="20" spans="1:19" x14ac:dyDescent="0.35">
      <c r="K20" s="3">
        <f t="shared" si="0"/>
        <v>1.2027276990113369E-9</v>
      </c>
      <c r="L20" t="s">
        <v>140</v>
      </c>
      <c r="M20" t="s">
        <v>828</v>
      </c>
      <c r="N20" s="39">
        <v>8.1073574649390906E-6</v>
      </c>
      <c r="P20">
        <f t="shared" si="1"/>
        <v>8.1073574649390906E-6</v>
      </c>
      <c r="Q20">
        <v>166.17599999999999</v>
      </c>
      <c r="R20" s="4"/>
      <c r="S20">
        <f t="shared" si="2"/>
        <v>0</v>
      </c>
    </row>
    <row r="21" spans="1:19" x14ac:dyDescent="0.35">
      <c r="A21" t="s">
        <v>819</v>
      </c>
      <c r="K21" s="3">
        <f t="shared" si="0"/>
        <v>2.942591659401331E-11</v>
      </c>
      <c r="L21" t="s">
        <v>141</v>
      </c>
      <c r="M21" t="s">
        <v>828</v>
      </c>
      <c r="N21" s="39">
        <v>1.98354477707011E-7</v>
      </c>
      <c r="P21">
        <f t="shared" si="1"/>
        <v>1.98354477707011E-7</v>
      </c>
      <c r="Q21">
        <v>210.227</v>
      </c>
      <c r="R21" s="4"/>
      <c r="S21">
        <f t="shared" si="2"/>
        <v>0</v>
      </c>
    </row>
    <row r="22" spans="1:19" x14ac:dyDescent="0.35">
      <c r="A22" s="138" t="s">
        <v>754</v>
      </c>
      <c r="E22" t="s">
        <v>826</v>
      </c>
      <c r="G22" t="s">
        <v>811</v>
      </c>
      <c r="K22" s="3">
        <f t="shared" si="0"/>
        <v>1.173106771126752E-11</v>
      </c>
      <c r="L22" t="s">
        <v>142</v>
      </c>
      <c r="M22" t="s">
        <v>828</v>
      </c>
      <c r="N22" s="39">
        <v>7.9076884534072898E-8</v>
      </c>
      <c r="P22">
        <f t="shared" si="1"/>
        <v>7.9076884534072898E-8</v>
      </c>
      <c r="Q22">
        <v>282.45999999999998</v>
      </c>
      <c r="R22" s="4"/>
      <c r="S22">
        <f t="shared" si="2"/>
        <v>0</v>
      </c>
    </row>
    <row r="23" spans="1:19" x14ac:dyDescent="0.35">
      <c r="A23" s="13" t="s">
        <v>820</v>
      </c>
      <c r="B23">
        <v>390.779021</v>
      </c>
      <c r="C23" t="s">
        <v>1028</v>
      </c>
      <c r="E23">
        <f>B23+B24</f>
        <v>449.779021</v>
      </c>
      <c r="G23">
        <v>7.0000000000000007E-2</v>
      </c>
      <c r="H23" t="s">
        <v>822</v>
      </c>
      <c r="K23" s="3">
        <f t="shared" si="0"/>
        <v>3.0119817286393385E-5</v>
      </c>
      <c r="L23" t="s">
        <v>143</v>
      </c>
      <c r="M23" t="s">
        <v>828</v>
      </c>
      <c r="N23">
        <v>0.203031929604825</v>
      </c>
      <c r="P23">
        <f t="shared" si="1"/>
        <v>0.203031929604825</v>
      </c>
      <c r="Q23">
        <v>94</v>
      </c>
      <c r="R23" s="4"/>
      <c r="S23">
        <f t="shared" si="2"/>
        <v>0</v>
      </c>
    </row>
    <row r="24" spans="1:19" x14ac:dyDescent="0.35">
      <c r="A24" s="13" t="s">
        <v>821</v>
      </c>
      <c r="B24">
        <v>59</v>
      </c>
      <c r="C24" t="s">
        <v>1028</v>
      </c>
      <c r="E24">
        <f>E23/'Mass balances '!D135</f>
        <v>5.6648117185172271E-2</v>
      </c>
      <c r="K24" s="3">
        <f t="shared" si="0"/>
        <v>3.177406405919138E-5</v>
      </c>
      <c r="L24" t="s">
        <v>144</v>
      </c>
      <c r="M24" t="s">
        <v>828</v>
      </c>
      <c r="N24">
        <v>0.214182890818506</v>
      </c>
      <c r="P24">
        <f t="shared" si="1"/>
        <v>0.214182890818506</v>
      </c>
      <c r="Q24">
        <v>108.14</v>
      </c>
      <c r="R24" s="4"/>
      <c r="S24">
        <f t="shared" si="2"/>
        <v>0</v>
      </c>
    </row>
    <row r="25" spans="1:19" x14ac:dyDescent="0.35">
      <c r="A25" s="138" t="s">
        <v>823</v>
      </c>
      <c r="B25">
        <f>SUM(B26:F26)</f>
        <v>-6530.0262039990303</v>
      </c>
      <c r="C25" t="s">
        <v>698</v>
      </c>
      <c r="K25" s="3">
        <f t="shared" si="0"/>
        <v>4.6765725913005565E-6</v>
      </c>
      <c r="L25" t="s">
        <v>687</v>
      </c>
      <c r="M25" t="s">
        <v>828</v>
      </c>
      <c r="N25">
        <v>3.15238817062055E-2</v>
      </c>
      <c r="P25">
        <f t="shared" si="1"/>
        <v>3.15238817062055E-2</v>
      </c>
      <c r="Q25">
        <v>124.14</v>
      </c>
      <c r="R25" s="4"/>
      <c r="S25">
        <f t="shared" si="2"/>
        <v>0</v>
      </c>
    </row>
    <row r="26" spans="1:19" x14ac:dyDescent="0.35">
      <c r="B26">
        <v>469109.87319470401</v>
      </c>
      <c r="C26">
        <v>-474935.54196124797</v>
      </c>
      <c r="D26">
        <v>-686.35004442076695</v>
      </c>
      <c r="E26">
        <v>-28.470927623284801</v>
      </c>
      <c r="F26">
        <v>10.4635345889894</v>
      </c>
      <c r="K26" s="3">
        <f t="shared" si="0"/>
        <v>7.955630624627463E-8</v>
      </c>
      <c r="L26" t="s">
        <v>146</v>
      </c>
      <c r="M26" t="s">
        <v>828</v>
      </c>
      <c r="N26">
        <v>5.3627384973249496E-4</v>
      </c>
      <c r="P26">
        <f t="shared" si="1"/>
        <v>5.3627384973249496E-4</v>
      </c>
      <c r="Q26">
        <v>122.16</v>
      </c>
      <c r="R26" s="4"/>
      <c r="S26">
        <f t="shared" si="2"/>
        <v>0</v>
      </c>
    </row>
    <row r="27" spans="1:19" x14ac:dyDescent="0.35">
      <c r="K27" s="3">
        <f t="shared" si="0"/>
        <v>3.9484855356289337E-7</v>
      </c>
      <c r="L27" t="s">
        <v>688</v>
      </c>
      <c r="M27" t="s">
        <v>828</v>
      </c>
      <c r="N27">
        <v>2.66159860696644E-3</v>
      </c>
      <c r="P27">
        <f t="shared" si="1"/>
        <v>2.66159860696644E-3</v>
      </c>
      <c r="Q27">
        <v>138.16</v>
      </c>
      <c r="R27" s="4"/>
      <c r="S27">
        <f t="shared" si="2"/>
        <v>0</v>
      </c>
    </row>
    <row r="28" spans="1:19" x14ac:dyDescent="0.35">
      <c r="K28" s="3">
        <f t="shared" si="0"/>
        <v>1.2066989722364939E-7</v>
      </c>
      <c r="L28" t="s">
        <v>148</v>
      </c>
      <c r="M28" t="s">
        <v>828</v>
      </c>
      <c r="N28">
        <v>8.134127058467E-4</v>
      </c>
      <c r="P28">
        <f t="shared" si="1"/>
        <v>8.134127058467E-4</v>
      </c>
      <c r="Q28">
        <v>110.1</v>
      </c>
      <c r="R28" s="4"/>
      <c r="S28">
        <f t="shared" si="2"/>
        <v>0</v>
      </c>
    </row>
    <row r="29" spans="1:19" x14ac:dyDescent="0.35">
      <c r="K29" s="3">
        <f t="shared" si="0"/>
        <v>2.0680340859299476E-8</v>
      </c>
      <c r="L29" t="s">
        <v>150</v>
      </c>
      <c r="M29" t="s">
        <v>828</v>
      </c>
      <c r="N29">
        <v>1.3940222377928799E-4</v>
      </c>
      <c r="P29">
        <f t="shared" si="1"/>
        <v>1.3940222377928799E-4</v>
      </c>
      <c r="Q29">
        <v>140.13659999999999</v>
      </c>
      <c r="R29" s="4"/>
      <c r="S29">
        <f t="shared" si="2"/>
        <v>0</v>
      </c>
    </row>
    <row r="30" spans="1:19" x14ac:dyDescent="0.35">
      <c r="K30" s="3">
        <f t="shared" si="0"/>
        <v>8.3497341717559477E-9</v>
      </c>
      <c r="L30" t="s">
        <v>181</v>
      </c>
      <c r="M30" t="s">
        <v>828</v>
      </c>
      <c r="N30" s="39">
        <v>5.6283961634282203E-5</v>
      </c>
      <c r="P30">
        <f t="shared" si="1"/>
        <v>5.6283961634282203E-5</v>
      </c>
      <c r="Q30">
        <v>124.13720000000001</v>
      </c>
      <c r="R30" s="4"/>
      <c r="S30">
        <f t="shared" si="2"/>
        <v>0</v>
      </c>
    </row>
    <row r="31" spans="1:19" x14ac:dyDescent="0.35">
      <c r="K31" s="3">
        <f t="shared" si="0"/>
        <v>1.3302774543293179E-7</v>
      </c>
      <c r="L31" t="s">
        <v>182</v>
      </c>
      <c r="M31" t="s">
        <v>828</v>
      </c>
      <c r="N31">
        <v>8.9671459788133695E-4</v>
      </c>
      <c r="P31">
        <f t="shared" si="1"/>
        <v>8.9671459788133695E-4</v>
      </c>
      <c r="Q31">
        <v>152.19</v>
      </c>
      <c r="R31" s="4"/>
      <c r="S31">
        <f t="shared" si="2"/>
        <v>0</v>
      </c>
    </row>
    <row r="32" spans="1:19" x14ac:dyDescent="0.35">
      <c r="A32" t="s">
        <v>824</v>
      </c>
      <c r="B32">
        <f>B9+B23+B24</f>
        <v>1495.75734164</v>
      </c>
      <c r="C32" t="s">
        <v>694</v>
      </c>
      <c r="K32" s="3">
        <f t="shared" si="0"/>
        <v>1.7526346562750775E-8</v>
      </c>
      <c r="L32" t="s">
        <v>183</v>
      </c>
      <c r="M32" t="s">
        <v>828</v>
      </c>
      <c r="N32">
        <v>1.1814175125045301E-4</v>
      </c>
      <c r="P32">
        <f t="shared" si="1"/>
        <v>1.1814175125045301E-4</v>
      </c>
      <c r="Q32">
        <v>124.13720000000001</v>
      </c>
      <c r="R32" s="4"/>
      <c r="S32">
        <f t="shared" si="2"/>
        <v>0</v>
      </c>
    </row>
    <row r="33" spans="1:19" x14ac:dyDescent="0.35">
      <c r="A33" t="s">
        <v>825</v>
      </c>
      <c r="B33" s="137">
        <f>B12+B18</f>
        <v>172115.29177806905</v>
      </c>
      <c r="C33" t="s">
        <v>698</v>
      </c>
      <c r="K33" s="3">
        <f t="shared" si="0"/>
        <v>2.00894040052913E-7</v>
      </c>
      <c r="L33" t="s">
        <v>153</v>
      </c>
      <c r="M33" t="s">
        <v>828</v>
      </c>
      <c r="N33">
        <v>1.3541883142988999E-3</v>
      </c>
      <c r="P33">
        <f t="shared" si="1"/>
        <v>1.3541883142988999E-3</v>
      </c>
      <c r="Q33">
        <v>154.16</v>
      </c>
      <c r="R33" s="4"/>
      <c r="S33">
        <f t="shared" si="2"/>
        <v>0</v>
      </c>
    </row>
    <row r="34" spans="1:19" x14ac:dyDescent="0.35">
      <c r="J34" s="14"/>
      <c r="K34" s="3">
        <f t="shared" si="0"/>
        <v>3.1455946842785802E-8</v>
      </c>
      <c r="L34" t="s">
        <v>184</v>
      </c>
      <c r="M34" t="s">
        <v>828</v>
      </c>
      <c r="N34">
        <v>2.1203852348475999E-4</v>
      </c>
      <c r="P34">
        <f t="shared" si="1"/>
        <v>2.1203852348475999E-4</v>
      </c>
      <c r="Q34">
        <v>164.2</v>
      </c>
      <c r="R34" s="4"/>
      <c r="S34">
        <f t="shared" si="2"/>
        <v>0</v>
      </c>
    </row>
    <row r="35" spans="1:19" x14ac:dyDescent="0.35">
      <c r="K35" s="3">
        <f t="shared" si="0"/>
        <v>2.0208841703307184E-8</v>
      </c>
      <c r="L35" t="s">
        <v>185</v>
      </c>
      <c r="M35" t="s">
        <v>828</v>
      </c>
      <c r="N35">
        <v>1.3622393811646601E-4</v>
      </c>
      <c r="P35">
        <f t="shared" si="1"/>
        <v>1.3622393811646601E-4</v>
      </c>
      <c r="Q35">
        <v>166.21700000000001</v>
      </c>
      <c r="R35" s="4"/>
      <c r="S35">
        <f t="shared" si="2"/>
        <v>0</v>
      </c>
    </row>
    <row r="36" spans="1:19" x14ac:dyDescent="0.35">
      <c r="K36" s="3">
        <f t="shared" si="0"/>
        <v>2.9215816891928836E-12</v>
      </c>
      <c r="L36" t="s">
        <v>156</v>
      </c>
      <c r="M36" t="s">
        <v>828</v>
      </c>
      <c r="N36" s="39">
        <v>1.9693823578502301E-8</v>
      </c>
      <c r="P36">
        <f t="shared" si="1"/>
        <v>1.9693823578502301E-8</v>
      </c>
      <c r="Q36">
        <v>256.39999999999998</v>
      </c>
      <c r="R36" s="4"/>
      <c r="S36">
        <f t="shared" si="2"/>
        <v>0</v>
      </c>
    </row>
    <row r="37" spans="1:19" x14ac:dyDescent="0.35">
      <c r="K37" s="3">
        <f t="shared" si="0"/>
        <v>3.2814175416132878E-12</v>
      </c>
      <c r="L37" t="s">
        <v>186</v>
      </c>
      <c r="M37" t="s">
        <v>828</v>
      </c>
      <c r="N37" s="39">
        <v>2.21194082612791E-8</v>
      </c>
      <c r="P37">
        <f t="shared" si="1"/>
        <v>2.21194082612791E-8</v>
      </c>
      <c r="Q37">
        <v>282.45999999999998</v>
      </c>
      <c r="R37" s="4"/>
      <c r="S37">
        <f t="shared" si="2"/>
        <v>0</v>
      </c>
    </row>
    <row r="38" spans="1:19" x14ac:dyDescent="0.35">
      <c r="A38" t="s">
        <v>660</v>
      </c>
      <c r="K38" s="3">
        <f t="shared" si="0"/>
        <v>1.0378399140447E-9</v>
      </c>
      <c r="L38" t="s">
        <v>158</v>
      </c>
      <c r="M38" t="s">
        <v>828</v>
      </c>
      <c r="N38" s="39">
        <v>6.99588043200353E-6</v>
      </c>
      <c r="P38">
        <f t="shared" si="1"/>
        <v>6.99588043200353E-6</v>
      </c>
      <c r="Q38">
        <v>270.45</v>
      </c>
      <c r="S38">
        <f t="shared" si="2"/>
        <v>0</v>
      </c>
    </row>
    <row r="39" spans="1:19" x14ac:dyDescent="0.35">
      <c r="A39" t="s">
        <v>713</v>
      </c>
      <c r="B39" t="s">
        <v>698</v>
      </c>
      <c r="C39">
        <f>S47</f>
        <v>232245.81602812931</v>
      </c>
      <c r="K39" s="3">
        <f t="shared" si="0"/>
        <v>5.752209744499862E-11</v>
      </c>
      <c r="L39" t="s">
        <v>160</v>
      </c>
      <c r="M39" t="s">
        <v>828</v>
      </c>
      <c r="N39" s="39">
        <v>3.8774546100751902E-7</v>
      </c>
      <c r="P39">
        <f t="shared" si="1"/>
        <v>3.8774546100751902E-7</v>
      </c>
      <c r="Q39">
        <v>294.5</v>
      </c>
      <c r="S39">
        <f t="shared" si="2"/>
        <v>0</v>
      </c>
    </row>
    <row r="40" spans="1:19" x14ac:dyDescent="0.35">
      <c r="A40" t="s">
        <v>715</v>
      </c>
      <c r="B40" t="s">
        <v>698</v>
      </c>
      <c r="C40">
        <f>C39*'Process variables '!G19</f>
        <v>185796.65282250347</v>
      </c>
      <c r="K40" s="3">
        <f t="shared" si="0"/>
        <v>3.4541608267615572E-10</v>
      </c>
      <c r="L40" t="s">
        <v>187</v>
      </c>
      <c r="M40" t="s">
        <v>828</v>
      </c>
      <c r="N40" s="39">
        <v>2.3283837719016002E-6</v>
      </c>
      <c r="P40">
        <f t="shared" si="1"/>
        <v>2.3283837719016002E-6</v>
      </c>
      <c r="Q40">
        <v>296.5</v>
      </c>
      <c r="S40">
        <f t="shared" si="2"/>
        <v>0</v>
      </c>
    </row>
    <row r="41" spans="1:19" x14ac:dyDescent="0.35">
      <c r="A41" t="s">
        <v>717</v>
      </c>
      <c r="B41" t="s">
        <v>702</v>
      </c>
      <c r="C41">
        <f>(C40*'Process variables '!G21)/3.6</f>
        <v>41288.145071667444</v>
      </c>
      <c r="K41" s="3">
        <f t="shared" si="0"/>
        <v>1.1875069451694226E-10</v>
      </c>
      <c r="L41" t="s">
        <v>188</v>
      </c>
      <c r="M41" t="s">
        <v>828</v>
      </c>
      <c r="N41" s="39">
        <v>8.0047572734047298E-7</v>
      </c>
      <c r="P41">
        <f t="shared" si="1"/>
        <v>8.0047572734047298E-7</v>
      </c>
      <c r="Q41">
        <v>296.5</v>
      </c>
      <c r="S41">
        <f t="shared" si="2"/>
        <v>0</v>
      </c>
    </row>
    <row r="42" spans="1:19" x14ac:dyDescent="0.35">
      <c r="A42" t="s">
        <v>719</v>
      </c>
      <c r="K42" s="3">
        <f t="shared" si="0"/>
        <v>0</v>
      </c>
      <c r="L42" t="s">
        <v>830</v>
      </c>
      <c r="M42" t="s">
        <v>828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720</v>
      </c>
      <c r="B43" t="s">
        <v>702</v>
      </c>
      <c r="C43">
        <f>B32</f>
        <v>1495.75734164</v>
      </c>
      <c r="K43" s="3">
        <f t="shared" si="0"/>
        <v>0.88147580211460974</v>
      </c>
      <c r="L43" t="s">
        <v>189</v>
      </c>
      <c r="M43" t="s">
        <v>828</v>
      </c>
      <c r="N43">
        <v>5941.8598493337704</v>
      </c>
      <c r="P43">
        <f t="shared" si="1"/>
        <v>5941.8598493337704</v>
      </c>
      <c r="Q43">
        <v>44.01</v>
      </c>
      <c r="S43">
        <f t="shared" si="2"/>
        <v>0</v>
      </c>
    </row>
    <row r="44" spans="1:19" x14ac:dyDescent="0.35">
      <c r="A44" t="s">
        <v>720</v>
      </c>
      <c r="B44" t="s">
        <v>698</v>
      </c>
      <c r="C44">
        <f>C43*3.6</f>
        <v>5384.7264299040007</v>
      </c>
      <c r="K44" s="3">
        <f t="shared" si="0"/>
        <v>1.5436938735581201E-2</v>
      </c>
      <c r="L44" t="s">
        <v>689</v>
      </c>
      <c r="M44" t="s">
        <v>828</v>
      </c>
      <c r="N44">
        <v>104.05745256935499</v>
      </c>
      <c r="P44">
        <f t="shared" si="1"/>
        <v>104.05745256935499</v>
      </c>
      <c r="Q44">
        <v>30.07</v>
      </c>
      <c r="R44">
        <v>51.9</v>
      </c>
      <c r="S44">
        <f t="shared" si="2"/>
        <v>5400.5817883495238</v>
      </c>
    </row>
    <row r="45" spans="1:19" x14ac:dyDescent="0.35">
      <c r="A45" t="s">
        <v>723</v>
      </c>
      <c r="B45" t="s">
        <v>698</v>
      </c>
      <c r="C45">
        <f>C44/'Process variables '!G21</f>
        <v>6730.9080373800007</v>
      </c>
      <c r="K45" s="3">
        <f t="shared" si="0"/>
        <v>1.929683515878754E-2</v>
      </c>
      <c r="L45" t="s">
        <v>690</v>
      </c>
      <c r="M45" t="s">
        <v>828</v>
      </c>
      <c r="N45">
        <v>130.07627636986899</v>
      </c>
      <c r="P45">
        <f t="shared" si="1"/>
        <v>130.07627636986899</v>
      </c>
      <c r="Q45">
        <v>58.12</v>
      </c>
      <c r="R45">
        <v>49.5</v>
      </c>
      <c r="S45">
        <f t="shared" si="2"/>
        <v>6438.7756803085149</v>
      </c>
    </row>
    <row r="46" spans="1:19" x14ac:dyDescent="0.35">
      <c r="A46" t="s">
        <v>725</v>
      </c>
      <c r="B46" t="s">
        <v>698</v>
      </c>
      <c r="C46">
        <v>0</v>
      </c>
      <c r="K46" s="3">
        <f t="shared" si="0"/>
        <v>1.832926118208331E-2</v>
      </c>
      <c r="L46" t="s">
        <v>691</v>
      </c>
      <c r="M46" t="s">
        <v>828</v>
      </c>
      <c r="N46">
        <v>123.554045187065</v>
      </c>
      <c r="P46">
        <f t="shared" si="1"/>
        <v>123.554045187065</v>
      </c>
      <c r="Q46">
        <v>44.1</v>
      </c>
      <c r="R46">
        <v>50.35</v>
      </c>
      <c r="S46">
        <f t="shared" si="2"/>
        <v>6220.9461751687231</v>
      </c>
    </row>
    <row r="47" spans="1:19" x14ac:dyDescent="0.35">
      <c r="A47" t="s">
        <v>726</v>
      </c>
      <c r="B47" t="s">
        <v>698</v>
      </c>
      <c r="C47">
        <f>C40-C45</f>
        <v>179065.74478512348</v>
      </c>
      <c r="O47" t="s">
        <v>831</v>
      </c>
      <c r="P47">
        <f>SUM(P5:P46)</f>
        <v>6740.8088061857061</v>
      </c>
      <c r="S47">
        <f>SUM(S5:S46)+S51</f>
        <v>232245.81602812931</v>
      </c>
    </row>
    <row r="48" spans="1:19" x14ac:dyDescent="0.35">
      <c r="A48" t="s">
        <v>727</v>
      </c>
      <c r="B48" t="s">
        <v>698</v>
      </c>
      <c r="C48" s="137">
        <f>B33</f>
        <v>172115.29177806905</v>
      </c>
      <c r="L48" t="s">
        <v>835</v>
      </c>
      <c r="Q48">
        <v>50</v>
      </c>
      <c r="R48" t="s">
        <v>558</v>
      </c>
    </row>
    <row r="49" spans="1:19" x14ac:dyDescent="0.35">
      <c r="A49" t="s">
        <v>728</v>
      </c>
      <c r="C49">
        <f>C48*'Process variables '!C4</f>
        <v>137692.23342245523</v>
      </c>
      <c r="L49" s="141" t="s">
        <v>836</v>
      </c>
      <c r="M49" s="142">
        <v>2.8</v>
      </c>
      <c r="N49" s="143" t="s">
        <v>558</v>
      </c>
    </row>
    <row r="50" spans="1:19" x14ac:dyDescent="0.35">
      <c r="A50" t="s">
        <v>729</v>
      </c>
      <c r="B50" t="s">
        <v>698</v>
      </c>
      <c r="C50" s="137">
        <f>C48-C49</f>
        <v>34423.058355613815</v>
      </c>
    </row>
    <row r="51" spans="1:19" x14ac:dyDescent="0.35">
      <c r="A51" t="s">
        <v>730</v>
      </c>
      <c r="B51" t="s">
        <v>698</v>
      </c>
      <c r="C51">
        <f>C47</f>
        <v>179065.74478512348</v>
      </c>
      <c r="L51" t="s">
        <v>972</v>
      </c>
      <c r="M51" t="s">
        <v>973</v>
      </c>
      <c r="N51">
        <f>'Mass balances '!D36</f>
        <v>7476.9848670292504</v>
      </c>
      <c r="P51">
        <f>N51</f>
        <v>7476.9848670292504</v>
      </c>
      <c r="Q51">
        <v>12</v>
      </c>
      <c r="R51" s="211">
        <f>'Background information'!B34</f>
        <v>28.116250000000001</v>
      </c>
      <c r="S51">
        <f>R51*P51</f>
        <v>210224.77576761117</v>
      </c>
    </row>
    <row r="52" spans="1:19" x14ac:dyDescent="0.35">
      <c r="A52" t="s">
        <v>731</v>
      </c>
      <c r="B52" t="s">
        <v>698</v>
      </c>
      <c r="C52" s="137">
        <v>0</v>
      </c>
    </row>
    <row r="53" spans="1:19" x14ac:dyDescent="0.35">
      <c r="A53" t="s">
        <v>732</v>
      </c>
      <c r="B53" t="s">
        <v>513</v>
      </c>
      <c r="C53">
        <v>0</v>
      </c>
    </row>
    <row r="54" spans="1:19" x14ac:dyDescent="0.35">
      <c r="A54" t="s">
        <v>733</v>
      </c>
      <c r="B54" t="s">
        <v>698</v>
      </c>
      <c r="C54" s="137">
        <f>C47-C50</f>
        <v>144642.68642950966</v>
      </c>
    </row>
    <row r="55" spans="1:19" x14ac:dyDescent="0.35">
      <c r="A55" t="s">
        <v>734</v>
      </c>
      <c r="B55" t="s">
        <v>702</v>
      </c>
      <c r="C55">
        <f>C54*'Process variables '!G21/3.6</f>
        <v>32142.819206557702</v>
      </c>
    </row>
    <row r="57" spans="1:19" x14ac:dyDescent="0.35">
      <c r="A57" t="s">
        <v>735</v>
      </c>
      <c r="B57" t="s">
        <v>513</v>
      </c>
      <c r="C57" s="137">
        <f>SUM(C58:C60)</f>
        <v>15367.436765899023</v>
      </c>
    </row>
    <row r="58" spans="1:19" x14ac:dyDescent="0.35">
      <c r="A58" t="s">
        <v>520</v>
      </c>
      <c r="B58" t="s">
        <v>513</v>
      </c>
      <c r="C58" s="137">
        <f>C48/M49*'Process variables '!C5</f>
        <v>13523.34435399114</v>
      </c>
    </row>
    <row r="59" spans="1:19" x14ac:dyDescent="0.35">
      <c r="A59" t="s">
        <v>737</v>
      </c>
      <c r="B59" t="s">
        <v>513</v>
      </c>
      <c r="C59" s="137">
        <f>C48/M49*0.03</f>
        <v>1844.0924119078827</v>
      </c>
    </row>
    <row r="60" spans="1:19" x14ac:dyDescent="0.35">
      <c r="A60" t="s">
        <v>739</v>
      </c>
      <c r="B60" t="s">
        <v>513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698</v>
      </c>
    </row>
    <row r="88" spans="1:4" x14ac:dyDescent="0.35">
      <c r="A88">
        <v>2.777778E-4</v>
      </c>
      <c r="B88">
        <f>B87*A88</f>
        <v>67.741363755002496</v>
      </c>
      <c r="C88" t="s">
        <v>1029</v>
      </c>
      <c r="D88" s="261"/>
    </row>
  </sheetData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714E6-35DE-4438-9E07-69F4566F5311}">
  <dimension ref="A1:H54"/>
  <sheetViews>
    <sheetView topLeftCell="A41" workbookViewId="0">
      <selection activeCell="E48" sqref="E48"/>
    </sheetView>
  </sheetViews>
  <sheetFormatPr defaultRowHeight="14.5" x14ac:dyDescent="0.35"/>
  <cols>
    <col min="1" max="1" width="31.17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236" t="s">
        <v>1033</v>
      </c>
      <c r="B1" s="237"/>
      <c r="C1" s="237"/>
      <c r="D1" s="237"/>
    </row>
    <row r="2" spans="1:4" x14ac:dyDescent="0.35">
      <c r="A2" s="238" t="s">
        <v>1034</v>
      </c>
      <c r="B2" s="239"/>
      <c r="C2" s="240"/>
      <c r="D2" s="241">
        <f t="shared" ref="D2" si="0">SUM(D3:D5)</f>
        <v>460894.86685999995</v>
      </c>
    </row>
    <row r="3" spans="1:4" x14ac:dyDescent="0.35">
      <c r="A3" s="239" t="s">
        <v>1035</v>
      </c>
      <c r="B3" s="239" t="s">
        <v>698</v>
      </c>
      <c r="C3" s="239" t="str">
        <f t="shared" ref="C3:C6" si="1">A3</f>
        <v>Biomass</v>
      </c>
      <c r="D3" s="242">
        <f>'Mass balances '!D6*'Background information'!C20</f>
        <v>455209.99999999994</v>
      </c>
    </row>
    <row r="4" spans="1:4" x14ac:dyDescent="0.35">
      <c r="A4" s="239" t="s">
        <v>663</v>
      </c>
      <c r="B4" s="239" t="s">
        <v>698</v>
      </c>
      <c r="C4" s="239" t="str">
        <f t="shared" si="1"/>
        <v>Natural Gas</v>
      </c>
      <c r="D4">
        <v>0</v>
      </c>
    </row>
    <row r="5" spans="1:4" x14ac:dyDescent="0.35">
      <c r="A5" s="159" t="s">
        <v>1036</v>
      </c>
      <c r="B5" s="159" t="s">
        <v>698</v>
      </c>
      <c r="C5" s="239" t="str">
        <f t="shared" si="1"/>
        <v>Biomass in Recycled Aqueous, est.</v>
      </c>
      <c r="D5" s="242">
        <f>'Background information'!C20*'Mass balances '!D16</f>
        <v>5684.8668599999992</v>
      </c>
    </row>
    <row r="6" spans="1:4" x14ac:dyDescent="0.35">
      <c r="A6" s="243" t="s">
        <v>1037</v>
      </c>
      <c r="B6" s="243" t="s">
        <v>698</v>
      </c>
      <c r="C6" s="243" t="str">
        <f t="shared" si="1"/>
        <v>Biomass in Recycled Aqueous, alt est.</v>
      </c>
      <c r="D6" s="241" t="e">
        <f>D13*'[1]2.2 Mass'!C24</f>
        <v>#VALUE!</v>
      </c>
    </row>
    <row r="7" spans="1:4" x14ac:dyDescent="0.35">
      <c r="A7" s="159"/>
      <c r="B7" s="159"/>
      <c r="C7" s="159"/>
      <c r="D7" s="242"/>
    </row>
    <row r="8" spans="1:4" x14ac:dyDescent="0.35">
      <c r="A8" s="244" t="s">
        <v>1038</v>
      </c>
      <c r="B8" s="159"/>
      <c r="C8" s="243"/>
      <c r="D8" s="241">
        <f t="shared" ref="D8" si="2">SUM(D9:D12)</f>
        <v>460894.86685999995</v>
      </c>
    </row>
    <row r="9" spans="1:4" x14ac:dyDescent="0.35">
      <c r="A9" s="159" t="s">
        <v>23</v>
      </c>
      <c r="B9" s="159" t="s">
        <v>698</v>
      </c>
      <c r="C9" s="239" t="str">
        <f t="shared" ref="C9:C43" si="3">A9</f>
        <v>Biocrude</v>
      </c>
      <c r="D9" s="242">
        <f>'Mass balances '!D111*'Background information'!B33</f>
        <v>240503.12975721713</v>
      </c>
    </row>
    <row r="10" spans="1:4" x14ac:dyDescent="0.35">
      <c r="A10" s="208" t="s">
        <v>559</v>
      </c>
      <c r="B10" s="208" t="s">
        <v>698</v>
      </c>
      <c r="C10" s="239" t="str">
        <f t="shared" si="3"/>
        <v>Char</v>
      </c>
      <c r="D10" s="242">
        <f>'Mass balances '!D57*'Background information'!B34</f>
        <v>210224.77576761117</v>
      </c>
    </row>
    <row r="11" spans="1:4" x14ac:dyDescent="0.35">
      <c r="A11" s="159" t="s">
        <v>560</v>
      </c>
      <c r="B11" s="159" t="s">
        <v>698</v>
      </c>
      <c r="C11" s="239" t="str">
        <f t="shared" si="3"/>
        <v>Gas</v>
      </c>
      <c r="D11" s="242">
        <f>'Mass balances '!D65*1.5</f>
        <v>10127.09993462377</v>
      </c>
    </row>
    <row r="12" spans="1:4" x14ac:dyDescent="0.35">
      <c r="A12" s="245" t="s">
        <v>1039</v>
      </c>
      <c r="B12" s="245" t="s">
        <v>698</v>
      </c>
      <c r="C12" s="239" t="str">
        <f t="shared" si="3"/>
        <v>Aqueous&amp; Losses</v>
      </c>
      <c r="D12" s="257">
        <f>(D3+D4+D5)-SUM(D9:D11)</f>
        <v>39.861400547903031</v>
      </c>
    </row>
    <row r="13" spans="1:4" x14ac:dyDescent="0.35">
      <c r="A13" s="246" t="s">
        <v>1040</v>
      </c>
      <c r="B13" s="246" t="s">
        <v>1041</v>
      </c>
      <c r="C13" s="239" t="str">
        <f t="shared" si="3"/>
        <v>Aqueous energy content [calculated]</v>
      </c>
      <c r="D13" s="247">
        <f>D12/'Mass balances '!D115</f>
        <v>2.1405997558547041E-4</v>
      </c>
    </row>
    <row r="14" spans="1:4" x14ac:dyDescent="0.35">
      <c r="A14" s="159"/>
      <c r="B14" s="159"/>
      <c r="C14" s="239">
        <f t="shared" si="3"/>
        <v>0</v>
      </c>
      <c r="D14" s="239"/>
    </row>
    <row r="15" spans="1:4" x14ac:dyDescent="0.35">
      <c r="A15" s="244" t="s">
        <v>1038</v>
      </c>
      <c r="B15" s="159"/>
      <c r="C15" s="239" t="str">
        <f t="shared" si="3"/>
        <v>Energy Out, Reactor</v>
      </c>
      <c r="D15" s="248">
        <f t="shared" ref="D15" si="4">SUM(D16:D19)</f>
        <v>0.99997290840152564</v>
      </c>
    </row>
    <row r="16" spans="1:4" x14ac:dyDescent="0.35">
      <c r="A16" s="159" t="s">
        <v>23</v>
      </c>
      <c r="B16" s="159" t="s">
        <v>233</v>
      </c>
      <c r="C16" s="239" t="str">
        <f t="shared" si="3"/>
        <v>Biocrude</v>
      </c>
      <c r="D16" s="249">
        <f>D9/D8</f>
        <v>0.52181776593808682</v>
      </c>
    </row>
    <row r="17" spans="1:5" x14ac:dyDescent="0.35">
      <c r="A17" s="208" t="s">
        <v>1042</v>
      </c>
      <c r="B17" s="159" t="s">
        <v>233</v>
      </c>
      <c r="C17" s="239" t="str">
        <f t="shared" si="3"/>
        <v>Char (Combustible)</v>
      </c>
      <c r="D17" s="249">
        <f>D10/D8</f>
        <v>0.45612305730336633</v>
      </c>
    </row>
    <row r="18" spans="1:5" x14ac:dyDescent="0.35">
      <c r="A18" s="159" t="s">
        <v>1043</v>
      </c>
      <c r="B18" s="159" t="s">
        <v>233</v>
      </c>
      <c r="C18" s="239" t="str">
        <f t="shared" si="3"/>
        <v>Gas (Combustible)</v>
      </c>
      <c r="D18" s="249">
        <f>D11/D8</f>
        <v>2.1972689788493451E-2</v>
      </c>
    </row>
    <row r="19" spans="1:5" x14ac:dyDescent="0.35">
      <c r="A19" s="245" t="s">
        <v>1039</v>
      </c>
      <c r="B19" s="159" t="s">
        <v>233</v>
      </c>
      <c r="C19" s="239" t="str">
        <f t="shared" si="3"/>
        <v>Aqueous&amp; Losses</v>
      </c>
      <c r="D19" s="249">
        <f t="shared" ref="D19" si="5">D12/(D$8+D$10)</f>
        <v>5.9395371579104877E-5</v>
      </c>
    </row>
    <row r="20" spans="1:5" x14ac:dyDescent="0.35">
      <c r="A20" s="159"/>
      <c r="B20" s="159"/>
      <c r="C20" s="239">
        <f t="shared" si="3"/>
        <v>0</v>
      </c>
      <c r="D20" s="249"/>
    </row>
    <row r="21" spans="1:5" x14ac:dyDescent="0.35">
      <c r="A21" s="250" t="s">
        <v>1044</v>
      </c>
      <c r="B21" s="226"/>
      <c r="C21" s="239" t="str">
        <f t="shared" si="3"/>
        <v>Orangnics Mass Out, Reactor</v>
      </c>
      <c r="D21" s="251">
        <f>SUM(D22:D26)</f>
        <v>1.0043679375563797</v>
      </c>
    </row>
    <row r="22" spans="1:5" x14ac:dyDescent="0.35">
      <c r="A22" s="226" t="s">
        <v>23</v>
      </c>
      <c r="B22" s="226" t="s">
        <v>233</v>
      </c>
      <c r="C22" s="239" t="str">
        <f t="shared" si="3"/>
        <v>Biocrude</v>
      </c>
      <c r="D22" s="252">
        <f>'Mass balances '!D30/SUM('Mass balances '!D21:D23)</f>
        <v>0.28504405413990597</v>
      </c>
      <c r="E22" s="6"/>
    </row>
    <row r="23" spans="1:5" x14ac:dyDescent="0.35">
      <c r="A23" s="253" t="s">
        <v>559</v>
      </c>
      <c r="B23" s="226" t="s">
        <v>233</v>
      </c>
      <c r="C23" s="239" t="str">
        <f t="shared" si="3"/>
        <v>Char</v>
      </c>
      <c r="D23" s="252">
        <f>'Mass balances '!D36/SUM('Mass balances '!D21:D23)</f>
        <v>0.27635252759693452</v>
      </c>
    </row>
    <row r="24" spans="1:5" x14ac:dyDescent="0.35">
      <c r="A24" s="226" t="s">
        <v>560</v>
      </c>
      <c r="B24" s="226" t="s">
        <v>233</v>
      </c>
      <c r="C24" s="239" t="str">
        <f t="shared" si="3"/>
        <v>Gas</v>
      </c>
      <c r="D24" s="252">
        <f>'Mass balances '!D40/SUM('Mass balances '!D21:D23)</f>
        <v>0.24953460197581739</v>
      </c>
    </row>
    <row r="25" spans="1:5" x14ac:dyDescent="0.35">
      <c r="A25" s="226" t="s">
        <v>507</v>
      </c>
      <c r="B25" s="226" t="s">
        <v>233</v>
      </c>
      <c r="C25" s="239" t="str">
        <f t="shared" si="3"/>
        <v>Aqueous</v>
      </c>
      <c r="D25" s="252">
        <f>'Mass balances '!D33/SUM('Mass balances '!D21:D23)</f>
        <v>0.1934367538437218</v>
      </c>
    </row>
    <row r="26" spans="1:5" x14ac:dyDescent="0.35">
      <c r="B26" s="226"/>
      <c r="C26" s="239"/>
      <c r="D26" s="252"/>
      <c r="E26" s="226"/>
    </row>
    <row r="27" spans="1:5" x14ac:dyDescent="0.35">
      <c r="A27" s="159"/>
      <c r="B27" s="159"/>
      <c r="C27" s="239">
        <f t="shared" si="3"/>
        <v>0</v>
      </c>
      <c r="D27" s="242"/>
    </row>
    <row r="28" spans="1:5" x14ac:dyDescent="0.35">
      <c r="A28" s="244" t="s">
        <v>1045</v>
      </c>
      <c r="B28" s="159"/>
      <c r="C28" s="239" t="str">
        <f t="shared" si="3"/>
        <v>Energy Out, System</v>
      </c>
      <c r="D28" s="242">
        <f>D3+D5+H36</f>
        <v>485192.26849999995</v>
      </c>
      <c r="E28" s="137"/>
    </row>
    <row r="29" spans="1:5" x14ac:dyDescent="0.35">
      <c r="A29" s="159" t="s">
        <v>680</v>
      </c>
      <c r="B29" s="159" t="s">
        <v>698</v>
      </c>
      <c r="C29" s="239" t="str">
        <f t="shared" si="3"/>
        <v>Biofuel</v>
      </c>
      <c r="D29" s="242">
        <f>D28-SUM(D30,D36,D41,D42)</f>
        <v>252906.59107132273</v>
      </c>
      <c r="E29">
        <f>D29/'Mass balances '!D156</f>
        <v>34.246823118010184</v>
      </c>
    </row>
    <row r="30" spans="1:5" x14ac:dyDescent="0.35">
      <c r="A30" s="159" t="s">
        <v>1046</v>
      </c>
      <c r="B30" s="159" t="s">
        <v>698</v>
      </c>
      <c r="C30" s="239" t="str">
        <f t="shared" si="3"/>
        <v>Biomass Combustion</v>
      </c>
      <c r="D30" s="242">
        <f>'Utilities demand'!C39</f>
        <v>232245.81602812931</v>
      </c>
    </row>
    <row r="31" spans="1:5" x14ac:dyDescent="0.35">
      <c r="A31" s="254" t="s">
        <v>1047</v>
      </c>
      <c r="B31" s="243" t="s">
        <v>698</v>
      </c>
      <c r="C31" s="239" t="str">
        <f t="shared" si="3"/>
        <v>of which, internal heat</v>
      </c>
      <c r="D31" s="241">
        <f>'Utilities demand'!C45</f>
        <v>5235.6455713800005</v>
      </c>
    </row>
    <row r="32" spans="1:5" x14ac:dyDescent="0.35">
      <c r="A32" s="254" t="s">
        <v>1048</v>
      </c>
      <c r="B32" s="243" t="s">
        <v>698</v>
      </c>
      <c r="C32" s="239" t="str">
        <f t="shared" si="3"/>
        <v>of which, internal electricity</v>
      </c>
      <c r="D32" s="241">
        <f>'Utilities demand'!C44-'Utilities demand'!C46</f>
        <v>4188.5164571040004</v>
      </c>
    </row>
    <row r="33" spans="1:8" x14ac:dyDescent="0.35">
      <c r="A33" s="254" t="s">
        <v>1049</v>
      </c>
      <c r="B33" s="243" t="s">
        <v>698</v>
      </c>
      <c r="C33" s="239" t="str">
        <f t="shared" si="3"/>
        <v>of which, salable electricity</v>
      </c>
      <c r="D33" s="241">
        <f>'Utilities demand'!C55*3.6</f>
        <v>116910.35911640772</v>
      </c>
    </row>
    <row r="34" spans="1:8" x14ac:dyDescent="0.35">
      <c r="A34" s="254" t="s">
        <v>1050</v>
      </c>
      <c r="B34" s="243" t="s">
        <v>698</v>
      </c>
      <c r="C34" s="239" t="str">
        <f t="shared" si="3"/>
        <v>of which, known losses</v>
      </c>
      <c r="D34" s="241">
        <f>D30-D31-D32-D33</f>
        <v>105911.29488323757</v>
      </c>
    </row>
    <row r="35" spans="1:8" x14ac:dyDescent="0.35">
      <c r="A35" s="255" t="s">
        <v>1051</v>
      </c>
      <c r="B35" s="246" t="s">
        <v>698</v>
      </c>
      <c r="C35" s="239" t="str">
        <f t="shared" si="3"/>
        <v xml:space="preserve">sum </v>
      </c>
      <c r="D35" s="256">
        <f t="shared" ref="D35" si="6">SUM(D31:D34)</f>
        <v>232245.81602812931</v>
      </c>
    </row>
    <row r="36" spans="1:8" x14ac:dyDescent="0.35">
      <c r="A36" s="239" t="s">
        <v>1052</v>
      </c>
      <c r="B36" s="239" t="s">
        <v>698</v>
      </c>
      <c r="C36" s="239" t="str">
        <f t="shared" si="3"/>
        <v>Natural Gas Combustion</v>
      </c>
      <c r="D36" s="242">
        <f>'Utilities demand'!C53*'Utilities demand'!Q48</f>
        <v>0</v>
      </c>
      <c r="G36" t="s">
        <v>1370</v>
      </c>
      <c r="H36">
        <f>'Mass balances '!D131*141.8</f>
        <v>24297.40164</v>
      </c>
    </row>
    <row r="37" spans="1:8" x14ac:dyDescent="0.35">
      <c r="A37" s="254" t="s">
        <v>1047</v>
      </c>
      <c r="B37" s="243" t="s">
        <v>698</v>
      </c>
      <c r="C37" s="239" t="str">
        <f t="shared" si="3"/>
        <v>of which, internal heat</v>
      </c>
      <c r="D37" s="241">
        <f>'Utilities demand'!C52</f>
        <v>0</v>
      </c>
    </row>
    <row r="38" spans="1:8" x14ac:dyDescent="0.35">
      <c r="A38" s="254" t="s">
        <v>1048</v>
      </c>
      <c r="B38" s="243" t="s">
        <v>698</v>
      </c>
      <c r="C38" s="239" t="str">
        <f t="shared" si="3"/>
        <v>of which, internal electricity</v>
      </c>
      <c r="D38" s="241">
        <f>'Utilities demand'!C46</f>
        <v>0</v>
      </c>
    </row>
    <row r="39" spans="1:8" x14ac:dyDescent="0.35">
      <c r="A39" s="254" t="s">
        <v>1050</v>
      </c>
      <c r="B39" s="243" t="s">
        <v>698</v>
      </c>
      <c r="C39" s="239" t="str">
        <f t="shared" si="3"/>
        <v>of which, known losses</v>
      </c>
      <c r="D39" s="241">
        <f>D36-D37-D38</f>
        <v>0</v>
      </c>
    </row>
    <row r="40" spans="1:8" x14ac:dyDescent="0.35">
      <c r="A40" s="255" t="s">
        <v>1051</v>
      </c>
      <c r="B40" s="246"/>
      <c r="C40" s="239" t="str">
        <f t="shared" si="3"/>
        <v xml:space="preserve">sum </v>
      </c>
      <c r="D40" s="256">
        <f t="shared" ref="D40" si="7">SUM(D37:D39)</f>
        <v>0</v>
      </c>
    </row>
    <row r="41" spans="1:8" x14ac:dyDescent="0.35">
      <c r="A41" s="245" t="s">
        <v>1053</v>
      </c>
      <c r="B41" s="245" t="s">
        <v>698</v>
      </c>
      <c r="C41" s="239" t="str">
        <f t="shared" si="3"/>
        <v>Aqueous Waste Purge</v>
      </c>
      <c r="D41" s="257">
        <f>D12*'Process variables '!C87</f>
        <v>9.9653501369757578</v>
      </c>
    </row>
    <row r="42" spans="1:8" x14ac:dyDescent="0.35">
      <c r="A42" s="245" t="s">
        <v>1054</v>
      </c>
      <c r="B42" s="245" t="s">
        <v>698</v>
      </c>
      <c r="C42" s="239" t="str">
        <f t="shared" si="3"/>
        <v>Aqueous &amp; Other Losses</v>
      </c>
      <c r="D42" s="257">
        <f t="shared" ref="D42" si="8">D12-D41</f>
        <v>29.896050410927273</v>
      </c>
    </row>
    <row r="43" spans="1:8" x14ac:dyDescent="0.35">
      <c r="A43" s="159"/>
      <c r="B43" s="159"/>
      <c r="C43" s="239">
        <f t="shared" si="3"/>
        <v>0</v>
      </c>
      <c r="D43" s="242"/>
    </row>
    <row r="44" spans="1:8" x14ac:dyDescent="0.35">
      <c r="A44" s="245" t="s">
        <v>1055</v>
      </c>
      <c r="B44" s="245" t="s">
        <v>698</v>
      </c>
      <c r="C44" s="239" t="s">
        <v>1056</v>
      </c>
      <c r="D44" s="258">
        <f>D2+H36-D28</f>
        <v>0</v>
      </c>
    </row>
    <row r="45" spans="1:8" x14ac:dyDescent="0.35">
      <c r="A45" s="245"/>
      <c r="B45" s="245"/>
      <c r="C45" s="239"/>
      <c r="D45" s="257"/>
    </row>
    <row r="46" spans="1:8" x14ac:dyDescent="0.35">
      <c r="A46" s="259" t="s">
        <v>1057</v>
      </c>
      <c r="B46" s="245"/>
      <c r="C46" s="239"/>
      <c r="D46" s="188"/>
    </row>
    <row r="47" spans="1:8" x14ac:dyDescent="0.35">
      <c r="A47" s="245" t="s">
        <v>680</v>
      </c>
      <c r="B47" s="245"/>
      <c r="C47" s="239" t="str">
        <f t="shared" ref="C47:C53" si="9">A47</f>
        <v>Biofuel</v>
      </c>
      <c r="D47" s="260">
        <f>D29/D$2</f>
        <v>0.54872945926764871</v>
      </c>
    </row>
    <row r="48" spans="1:8" x14ac:dyDescent="0.35">
      <c r="A48" s="245" t="s">
        <v>1058</v>
      </c>
      <c r="B48" s="245"/>
      <c r="C48" s="239" t="str">
        <f t="shared" si="9"/>
        <v>Salable Electricity</v>
      </c>
      <c r="D48" s="260">
        <f t="shared" ref="D48" si="10">D33/D2</f>
        <v>0.25365949487113743</v>
      </c>
    </row>
    <row r="49" spans="1:4" x14ac:dyDescent="0.35">
      <c r="A49" s="245" t="s">
        <v>1059</v>
      </c>
      <c r="B49" s="245"/>
      <c r="C49" s="239" t="str">
        <f t="shared" si="9"/>
        <v>Process Energy, from Biogas and Char</v>
      </c>
      <c r="D49" s="260">
        <f t="shared" ref="D49" si="11">SUM(D31:D32)/D2</f>
        <v>2.0447530892867716E-2</v>
      </c>
    </row>
    <row r="50" spans="1:4" x14ac:dyDescent="0.35">
      <c r="A50" s="245" t="s">
        <v>1060</v>
      </c>
      <c r="B50" s="245"/>
      <c r="C50" s="239" t="str">
        <f t="shared" si="9"/>
        <v>Process Energy, from Natural Gas</v>
      </c>
      <c r="D50" s="260">
        <f t="shared" ref="D50" si="12">SUM(D37:D38)/D2</f>
        <v>0</v>
      </c>
    </row>
    <row r="51" spans="1:4" x14ac:dyDescent="0.35">
      <c r="A51" s="245" t="s">
        <v>1061</v>
      </c>
      <c r="B51" s="245"/>
      <c r="C51" s="239" t="str">
        <f t="shared" si="9"/>
        <v>Aqueous Recyclate</v>
      </c>
      <c r="D51" s="260">
        <f t="shared" ref="D51" si="13">D42/D2</f>
        <v>6.4865227540076743E-5</v>
      </c>
    </row>
    <row r="52" spans="1:4" x14ac:dyDescent="0.35">
      <c r="A52" s="245" t="s">
        <v>1062</v>
      </c>
      <c r="B52" s="245"/>
      <c r="C52" s="239" t="str">
        <f t="shared" si="9"/>
        <v>Combustion Losses</v>
      </c>
      <c r="D52" s="260">
        <f t="shared" ref="D52" si="14">SUM(D34,D39)/D2</f>
        <v>0.22979491094095622</v>
      </c>
    </row>
    <row r="53" spans="1:4" x14ac:dyDescent="0.35">
      <c r="A53" s="245" t="s">
        <v>1063</v>
      </c>
      <c r="B53" s="245"/>
      <c r="C53" s="239" t="str">
        <f t="shared" si="9"/>
        <v>Waste Aqueous &amp; Unknown Losses</v>
      </c>
      <c r="D53" s="260">
        <f t="shared" ref="D53" si="15">(D41+D44)/D2</f>
        <v>2.1621742513358915E-5</v>
      </c>
    </row>
    <row r="54" spans="1:4" x14ac:dyDescent="0.35">
      <c r="D54" s="6">
        <f>SUM(D47:D53)</f>
        <v>1.0527178829426636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Background information</vt:lpstr>
      <vt:lpstr>Hydrotreatment_trial</vt:lpstr>
      <vt:lpstr>Demand </vt:lpstr>
      <vt:lpstr>Feedstock_Data_field </vt:lpstr>
      <vt:lpstr>Process variables </vt:lpstr>
      <vt:lpstr>Mass balances </vt:lpstr>
      <vt:lpstr>Utilities demand</vt:lpstr>
      <vt:lpstr>Utilities demand (2)</vt:lpstr>
      <vt:lpstr>Energy balance </vt:lpstr>
      <vt:lpstr>yields </vt:lpstr>
      <vt:lpstr>Expenses variable </vt:lpstr>
      <vt:lpstr>expenses_full_HTL</vt:lpstr>
      <vt:lpstr>expenses_full_fuel_HTL_Up</vt:lpstr>
      <vt:lpstr>expenses_full_fuel_HTL_CoUp</vt:lpstr>
      <vt:lpstr>expenses_full_fuel_HTL_UP_frac</vt:lpstr>
      <vt:lpstr>expenses_full_fuel_HTL_CoUp_fra</vt:lpstr>
      <vt:lpstr>Refinery</vt:lpstr>
      <vt:lpstr>utilities </vt:lpstr>
      <vt:lpstr>CAPEX </vt:lpstr>
      <vt:lpstr>play</vt:lpstr>
      <vt:lpstr>Sources and links </vt:lpstr>
      <vt:lpstr>Sheet4</vt:lpstr>
      <vt:lpstr>MFSP for different CAPEX</vt:lpstr>
      <vt:lpstr>MFSP sesnitivity  analysis </vt:lpstr>
      <vt:lpstr>MFSP play 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2025-06-03T21:59:19Z</dcterms:modified>
</cp:coreProperties>
</file>