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paezwatson\surfdrive\PhD Timmy\Sub-projects\Final stages\2024 02 Aspartate in PAOs\Experiments\"/>
    </mc:Choice>
  </mc:AlternateContent>
  <xr:revisionPtr revIDLastSave="0" documentId="13_ncr:1_{6690B304-115E-418A-8FAA-7AE2AAD810DD}" xr6:coauthVersionLast="47" xr6:coauthVersionMax="47" xr10:uidLastSave="{00000000-0000-0000-0000-000000000000}"/>
  <bookViews>
    <workbookView xWindow="-120" yWindow="-120" windowWidth="29040" windowHeight="15840" activeTab="2" xr2:uid="{6CA3749E-721D-4530-97EC-2A32EBA86107}"/>
  </bookViews>
  <sheets>
    <sheet name="Acetate" sheetId="2" r:id="rId1"/>
    <sheet name="Aspartate" sheetId="3" r:id="rId2"/>
    <sheet name="Mix" sheetId="4" r:id="rId3"/>
    <sheet name="Slow feed" sheetId="5" r:id="rId4"/>
    <sheet name="All together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4" l="1"/>
  <c r="L13" i="4"/>
  <c r="M13" i="4"/>
  <c r="N13" i="4"/>
  <c r="O13" i="4"/>
  <c r="A53" i="6"/>
  <c r="B53" i="6"/>
  <c r="D53" i="6"/>
  <c r="A54" i="6"/>
  <c r="B54" i="6"/>
  <c r="D54" i="6"/>
  <c r="A55" i="6"/>
  <c r="B55" i="6"/>
  <c r="D55" i="6"/>
  <c r="A56" i="6"/>
  <c r="B56" i="6"/>
  <c r="D56" i="6"/>
  <c r="A57" i="6"/>
  <c r="B57" i="6"/>
  <c r="D57" i="6"/>
  <c r="D52" i="6"/>
  <c r="B52" i="6"/>
  <c r="A52" i="6"/>
  <c r="A37" i="6"/>
  <c r="B37" i="6"/>
  <c r="D37" i="6"/>
  <c r="A38" i="6"/>
  <c r="B38" i="6"/>
  <c r="D38" i="6"/>
  <c r="A39" i="6"/>
  <c r="B39" i="6"/>
  <c r="D39" i="6"/>
  <c r="A40" i="6"/>
  <c r="B40" i="6"/>
  <c r="D40" i="6"/>
  <c r="A41" i="6"/>
  <c r="B41" i="6"/>
  <c r="D41" i="6"/>
  <c r="D36" i="6"/>
  <c r="B36" i="6"/>
  <c r="D22" i="6"/>
  <c r="B22" i="6"/>
  <c r="A36" i="6"/>
  <c r="D23" i="6"/>
  <c r="D24" i="6"/>
  <c r="D25" i="6"/>
  <c r="D26" i="6"/>
  <c r="D27" i="6"/>
  <c r="A23" i="6"/>
  <c r="B23" i="6"/>
  <c r="A24" i="6"/>
  <c r="B24" i="6"/>
  <c r="A25" i="6"/>
  <c r="B25" i="6"/>
  <c r="A26" i="6"/>
  <c r="B26" i="6"/>
  <c r="A27" i="6"/>
  <c r="B27" i="6"/>
  <c r="A22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3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F11" i="4"/>
  <c r="F10" i="4"/>
  <c r="F9" i="4"/>
  <c r="F8" i="4"/>
  <c r="F7" i="4"/>
  <c r="F5" i="4"/>
  <c r="F6" i="4"/>
  <c r="F12" i="4"/>
  <c r="F13" i="4"/>
  <c r="F14" i="4"/>
  <c r="F15" i="4"/>
  <c r="F16" i="4"/>
  <c r="F17" i="4"/>
  <c r="F18" i="4"/>
  <c r="F4" i="4"/>
  <c r="E13" i="4"/>
  <c r="E12" i="4"/>
  <c r="E11" i="4"/>
  <c r="E10" i="4"/>
  <c r="E9" i="4"/>
  <c r="E8" i="4"/>
  <c r="E7" i="4"/>
  <c r="E6" i="4"/>
  <c r="E5" i="4"/>
  <c r="E4" i="4"/>
  <c r="E18" i="4"/>
  <c r="E17" i="4"/>
  <c r="E16" i="4"/>
  <c r="E15" i="4"/>
  <c r="E14" i="4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4" i="2"/>
  <c r="L14" i="2"/>
  <c r="M19" i="5"/>
  <c r="N19" i="5" s="1"/>
  <c r="M20" i="5"/>
  <c r="N20" i="5" s="1"/>
  <c r="L21" i="5"/>
  <c r="M21" i="5" s="1"/>
  <c r="N21" i="5" s="1"/>
  <c r="L20" i="5"/>
  <c r="L19" i="5"/>
  <c r="M14" i="4"/>
  <c r="N14" i="4" s="1"/>
  <c r="L14" i="3"/>
  <c r="M14" i="3" s="1"/>
  <c r="N14" i="3" s="1"/>
  <c r="L13" i="3"/>
  <c r="M13" i="3" s="1"/>
  <c r="N13" i="3" s="1"/>
  <c r="M14" i="2"/>
  <c r="N14" i="2" s="1"/>
  <c r="G11" i="4"/>
  <c r="G10" i="4"/>
  <c r="G9" i="4"/>
  <c r="G8" i="4"/>
  <c r="G11" i="2"/>
  <c r="G10" i="2"/>
  <c r="G9" i="2"/>
  <c r="G8" i="2"/>
  <c r="G7" i="2"/>
  <c r="G6" i="2"/>
  <c r="G5" i="2"/>
  <c r="L13" i="2" s="1"/>
  <c r="M13" i="2" s="1"/>
  <c r="N13" i="2" s="1"/>
  <c r="G4" i="2"/>
  <c r="D19" i="5"/>
  <c r="D20" i="5"/>
  <c r="D21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18" i="3"/>
  <c r="E18" i="3" s="1"/>
  <c r="F18" i="3" s="1"/>
  <c r="C17" i="6" s="1"/>
  <c r="D17" i="3"/>
  <c r="E17" i="3" s="1"/>
  <c r="F17" i="3" s="1"/>
  <c r="C16" i="6" s="1"/>
  <c r="D16" i="3"/>
  <c r="E16" i="3" s="1"/>
  <c r="F16" i="3" s="1"/>
  <c r="C15" i="6" s="1"/>
  <c r="D15" i="3"/>
  <c r="E15" i="3" s="1"/>
  <c r="F15" i="3" s="1"/>
  <c r="C14" i="6" s="1"/>
  <c r="D14" i="3"/>
  <c r="E14" i="3" s="1"/>
  <c r="F14" i="3" s="1"/>
  <c r="C13" i="6" s="1"/>
  <c r="D13" i="3"/>
  <c r="E13" i="3" s="1"/>
  <c r="F13" i="3" s="1"/>
  <c r="C12" i="6" s="1"/>
  <c r="D12" i="3"/>
  <c r="E12" i="3" s="1"/>
  <c r="F12" i="3" s="1"/>
  <c r="C11" i="6" s="1"/>
  <c r="D11" i="3"/>
  <c r="E11" i="3" s="1"/>
  <c r="F11" i="3" s="1"/>
  <c r="C10" i="6" s="1"/>
  <c r="D10" i="3"/>
  <c r="E10" i="3" s="1"/>
  <c r="F10" i="3" s="1"/>
  <c r="C9" i="6" s="1"/>
  <c r="D9" i="3"/>
  <c r="E9" i="3" s="1"/>
  <c r="F9" i="3" s="1"/>
  <c r="C8" i="6" s="1"/>
  <c r="D8" i="3"/>
  <c r="E8" i="3" s="1"/>
  <c r="F8" i="3" s="1"/>
  <c r="C7" i="6" s="1"/>
  <c r="D7" i="3"/>
  <c r="E7" i="3" s="1"/>
  <c r="F7" i="3" s="1"/>
  <c r="C6" i="6" s="1"/>
  <c r="D6" i="3"/>
  <c r="E6" i="3" s="1"/>
  <c r="F6" i="3" s="1"/>
  <c r="C5" i="6" s="1"/>
  <c r="D5" i="3"/>
  <c r="E5" i="3" s="1"/>
  <c r="F5" i="3" s="1"/>
  <c r="C4" i="6" s="1"/>
  <c r="D4" i="3"/>
  <c r="E4" i="3" s="1"/>
  <c r="F4" i="3" s="1"/>
  <c r="C3" i="6" s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4" i="2"/>
  <c r="O20" i="5" l="1"/>
  <c r="R20" i="5"/>
  <c r="S20" i="5" s="1"/>
  <c r="R19" i="5"/>
  <c r="S19" i="5" s="1"/>
  <c r="P20" i="5"/>
  <c r="Q20" i="5" s="1"/>
  <c r="P19" i="5"/>
  <c r="Q19" i="5" s="1"/>
  <c r="O21" i="5"/>
  <c r="P13" i="4"/>
  <c r="P14" i="4"/>
  <c r="Q14" i="4" s="1"/>
  <c r="N23" i="3"/>
  <c r="C25" i="6" s="1"/>
  <c r="M20" i="3"/>
  <c r="C52" i="6" s="1"/>
  <c r="N20" i="3"/>
  <c r="C22" i="6" s="1"/>
  <c r="N24" i="3"/>
  <c r="C26" i="6" s="1"/>
  <c r="L20" i="3"/>
  <c r="C36" i="6" s="1"/>
  <c r="L21" i="3"/>
  <c r="C37" i="6" s="1"/>
  <c r="L24" i="3"/>
  <c r="C40" i="6" s="1"/>
  <c r="M21" i="3"/>
  <c r="C53" i="6" s="1"/>
  <c r="M25" i="3"/>
  <c r="C57" i="6" s="1"/>
  <c r="M22" i="3"/>
  <c r="C54" i="6" s="1"/>
  <c r="M24" i="3"/>
  <c r="C56" i="6" s="1"/>
  <c r="N21" i="3"/>
  <c r="C23" i="6" s="1"/>
  <c r="N25" i="3"/>
  <c r="C27" i="6" s="1"/>
  <c r="N22" i="3"/>
  <c r="C24" i="6" s="1"/>
  <c r="L22" i="3"/>
  <c r="C38" i="6" s="1"/>
  <c r="M23" i="3"/>
  <c r="C55" i="6" s="1"/>
  <c r="L23" i="3"/>
  <c r="C39" i="6" s="1"/>
  <c r="L25" i="3"/>
  <c r="C41" i="6" s="1"/>
  <c r="M21" i="2"/>
  <c r="M25" i="2"/>
  <c r="N21" i="2"/>
  <c r="N25" i="2"/>
  <c r="L24" i="2"/>
  <c r="M22" i="2"/>
  <c r="L21" i="2"/>
  <c r="M23" i="2"/>
  <c r="L20" i="2"/>
  <c r="N22" i="2"/>
  <c r="L22" i="2"/>
  <c r="L23" i="2"/>
  <c r="N23" i="2"/>
  <c r="M20" i="2"/>
  <c r="M24" i="2"/>
  <c r="L25" i="2"/>
  <c r="N20" i="2"/>
  <c r="N24" i="2"/>
  <c r="Q13" i="4" l="1"/>
  <c r="N20" i="4"/>
  <c r="N21" i="4"/>
  <c r="N25" i="4"/>
  <c r="N22" i="4"/>
  <c r="L23" i="4"/>
  <c r="L20" i="4"/>
  <c r="M22" i="4"/>
  <c r="L21" i="4"/>
  <c r="L22" i="4"/>
  <c r="M21" i="4"/>
  <c r="M23" i="4"/>
  <c r="N23" i="4"/>
  <c r="L24" i="4"/>
  <c r="M20" i="4"/>
  <c r="M24" i="4"/>
  <c r="L25" i="4"/>
  <c r="N24" i="4"/>
  <c r="M25" i="4"/>
</calcChain>
</file>

<file path=xl/sharedStrings.xml><?xml version="1.0" encoding="utf-8"?>
<sst xmlns="http://schemas.openxmlformats.org/spreadsheetml/2006/main" count="128" uniqueCount="40">
  <si>
    <t>Time</t>
  </si>
  <si>
    <t>Glycogen</t>
  </si>
  <si>
    <t>PHV</t>
  </si>
  <si>
    <t>PHB</t>
  </si>
  <si>
    <t>Aspartate</t>
  </si>
  <si>
    <t>Asp</t>
  </si>
  <si>
    <t>MIX</t>
  </si>
  <si>
    <t>Acetate</t>
  </si>
  <si>
    <t>NH4</t>
  </si>
  <si>
    <t>Time (mins)</t>
  </si>
  <si>
    <t>mg - P</t>
  </si>
  <si>
    <t>SP Env</t>
  </si>
  <si>
    <t>phosphate</t>
  </si>
  <si>
    <t>Acetate (mmol/L)</t>
  </si>
  <si>
    <t>P (mmol/L)</t>
  </si>
  <si>
    <t>Asp (mmol/L)</t>
  </si>
  <si>
    <t>Acetate fed</t>
  </si>
  <si>
    <t>mmol Ace</t>
  </si>
  <si>
    <t>slowly</t>
  </si>
  <si>
    <t>TSS (g/L)</t>
  </si>
  <si>
    <t>PHB (mCmol/gDW)</t>
  </si>
  <si>
    <t>PHV (mCmol/gDW)</t>
  </si>
  <si>
    <t>Glycogen (mCmol/gDW)</t>
  </si>
  <si>
    <t>Consumption</t>
  </si>
  <si>
    <t>mmol/L</t>
  </si>
  <si>
    <t>m-e/L</t>
  </si>
  <si>
    <t>m-e/gDW</t>
  </si>
  <si>
    <t>Asp total</t>
  </si>
  <si>
    <t>Ratio</t>
  </si>
  <si>
    <t>Ac:asp</t>
  </si>
  <si>
    <t>Percentage (electrons)</t>
  </si>
  <si>
    <t>Total e</t>
  </si>
  <si>
    <t>%</t>
  </si>
  <si>
    <t>PHB (Cmol/e-fed)</t>
  </si>
  <si>
    <t>PHV (Cmol/e-fed)</t>
  </si>
  <si>
    <t>Glycogen (Cmol/e-fed)</t>
  </si>
  <si>
    <t>P (mmol/gDW)</t>
  </si>
  <si>
    <t>P (mmol/e-fed)</t>
  </si>
  <si>
    <t>Phosphate</t>
  </si>
  <si>
    <t>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</si>
</sst>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5" fillId="0" borderId="0" applyBorder="0" applyProtection="0">
      <alignment vertical="top"/>
    </xf>
    <xf numFmtId="0" fontId="4" fillId="0" borderId="0">
      <alignment vertical="top"/>
    </xf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3" borderId="0" xfId="0" applyFont="1" applyFill="1"/>
    <xf numFmtId="0" fontId="0" fillId="3" borderId="0" xfId="0" applyFill="1"/>
    <xf numFmtId="0" fontId="1" fillId="3" borderId="0" xfId="0" applyFont="1" applyFill="1" applyAlignment="1">
      <alignment wrapText="1"/>
    </xf>
    <xf numFmtId="43" fontId="0" fillId="2" borderId="1" xfId="1" applyFont="1" applyFill="1" applyBorder="1"/>
    <xf numFmtId="43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3" borderId="0" xfId="0" applyFont="1" applyFill="1" applyAlignment="1">
      <alignment horizontal="center" wrapText="1"/>
    </xf>
  </cellXfs>
  <cellStyles count="6">
    <cellStyle name="Comma" xfId="1" builtinId="3"/>
    <cellStyle name="Comma 2" xfId="3" xr:uid="{1A68AC63-E93C-44DC-81FF-56D817951CF1}"/>
    <cellStyle name="Normal" xfId="0" builtinId="0"/>
    <cellStyle name="Normal 2" xfId="4" xr:uid="{D9B2DE70-D3DC-4C4C-A80E-AAE84E623D2E}"/>
    <cellStyle name="Normal 3" xfId="5" xr:uid="{250519BF-7505-46DE-A04B-8652AE94E82C}"/>
    <cellStyle name="Normal 4" xfId="2" xr:uid="{5E656834-9467-40F2-A33E-B41BB6538B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Acetate!$K$4:$K$9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Acetate!$L$4:$L$9</c:f>
              <c:numCache>
                <c:formatCode>General</c:formatCode>
                <c:ptCount val="6"/>
                <c:pt idx="0">
                  <c:v>9.7233573840581441E-2</c:v>
                </c:pt>
                <c:pt idx="1">
                  <c:v>0.70317460679863419</c:v>
                </c:pt>
                <c:pt idx="2">
                  <c:v>0.73265652940485659</c:v>
                </c:pt>
                <c:pt idx="3">
                  <c:v>0.35021852827077116</c:v>
                </c:pt>
                <c:pt idx="4">
                  <c:v>0.17455318610939546</c:v>
                </c:pt>
                <c:pt idx="5">
                  <c:v>8.5247782911038031E-2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CB-49C4-80F1-4B79003D27D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Acetate!$K$4:$K$9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Acetate!$M$4:$M$9</c:f>
              <c:numCache>
                <c:formatCode>General</c:formatCode>
                <c:ptCount val="6"/>
                <c:pt idx="0">
                  <c:v>6.6476251599202119E-2</c:v>
                </c:pt>
                <c:pt idx="1">
                  <c:v>0.33038707702086922</c:v>
                </c:pt>
                <c:pt idx="2">
                  <c:v>0.32684554850493702</c:v>
                </c:pt>
                <c:pt idx="3">
                  <c:v>0.1088383473863829</c:v>
                </c:pt>
                <c:pt idx="4">
                  <c:v>3.2827611271770335E-2</c:v>
                </c:pt>
                <c:pt idx="5">
                  <c:v>1.6562620206561327E-2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CB-49C4-80F1-4B79003D27D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Acetate!$K$4:$K$9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Acetate!$N$4:$N$9</c:f>
              <c:numCache>
                <c:formatCode>General</c:formatCode>
                <c:ptCount val="6"/>
                <c:pt idx="0">
                  <c:v>0.32863844585856972</c:v>
                </c:pt>
                <c:pt idx="1">
                  <c:v>0.25252426722999738</c:v>
                </c:pt>
                <c:pt idx="2">
                  <c:v>0.23915522751876053</c:v>
                </c:pt>
                <c:pt idx="3">
                  <c:v>0.26445842109788087</c:v>
                </c:pt>
                <c:pt idx="4">
                  <c:v>0.28894629988559106</c:v>
                </c:pt>
                <c:pt idx="5">
                  <c:v>0.29737425622298136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ECB-49C4-80F1-4B79003D2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657424"/>
        <c:axId val="339640624"/>
      </c:scatterChart>
      <c:valAx>
        <c:axId val="339657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640624"/>
        <c:crosses val="autoZero"/>
        <c:crossBetween val="midCat"/>
      </c:valAx>
      <c:valAx>
        <c:axId val="33964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657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'Slow feed'!$K$4:$K$13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55</c:v>
                </c:pt>
                <c:pt idx="5">
                  <c:v>70</c:v>
                </c:pt>
                <c:pt idx="6">
                  <c:v>85</c:v>
                </c:pt>
                <c:pt idx="7">
                  <c:v>100</c:v>
                </c:pt>
                <c:pt idx="8">
                  <c:v>115</c:v>
                </c:pt>
                <c:pt idx="9">
                  <c:v>130</c:v>
                </c:pt>
              </c:numCache>
            </c:numRef>
          </c:xVal>
          <c:yVal>
            <c:numRef>
              <c:f>'Slow feed'!$L$4:$L$13</c:f>
              <c:numCache>
                <c:formatCode>General</c:formatCode>
                <c:ptCount val="10"/>
                <c:pt idx="0">
                  <c:v>0.10436653412665253</c:v>
                </c:pt>
                <c:pt idx="1">
                  <c:v>0.13217026508450097</c:v>
                </c:pt>
                <c:pt idx="2">
                  <c:v>0.14736447298971986</c:v>
                </c:pt>
                <c:pt idx="3">
                  <c:v>0.18286886910890801</c:v>
                </c:pt>
                <c:pt idx="4">
                  <c:v>0.1853732222144221</c:v>
                </c:pt>
                <c:pt idx="5">
                  <c:v>0.18457616015158188</c:v>
                </c:pt>
                <c:pt idx="6">
                  <c:v>0.18528880744591028</c:v>
                </c:pt>
                <c:pt idx="7">
                  <c:v>0.17841865461634512</c:v>
                </c:pt>
                <c:pt idx="8">
                  <c:v>0.22565728652212166</c:v>
                </c:pt>
                <c:pt idx="9">
                  <c:v>0.16890367872018947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E5-4A7B-A490-7D480D7D138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'Slow feed'!$K$4:$K$13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55</c:v>
                </c:pt>
                <c:pt idx="5">
                  <c:v>70</c:v>
                </c:pt>
                <c:pt idx="6">
                  <c:v>85</c:v>
                </c:pt>
                <c:pt idx="7">
                  <c:v>100</c:v>
                </c:pt>
                <c:pt idx="8">
                  <c:v>115</c:v>
                </c:pt>
                <c:pt idx="9">
                  <c:v>130</c:v>
                </c:pt>
              </c:numCache>
            </c:numRef>
          </c:xVal>
          <c:yVal>
            <c:numRef>
              <c:f>'Slow feed'!$M$4:$M$13</c:f>
              <c:numCache>
                <c:formatCode>General</c:formatCode>
                <c:ptCount val="10"/>
                <c:pt idx="0">
                  <c:v>9.3628187693494361E-2</c:v>
                </c:pt>
                <c:pt idx="1">
                  <c:v>0.14372096584223223</c:v>
                </c:pt>
                <c:pt idx="2">
                  <c:v>0.19336180095093791</c:v>
                </c:pt>
                <c:pt idx="3">
                  <c:v>0.21339182024767073</c:v>
                </c:pt>
                <c:pt idx="4">
                  <c:v>0.28718759998529814</c:v>
                </c:pt>
                <c:pt idx="5">
                  <c:v>0.29864359987550709</c:v>
                </c:pt>
                <c:pt idx="6">
                  <c:v>0.36487787372008329</c:v>
                </c:pt>
                <c:pt idx="7">
                  <c:v>0.38657503568589363</c:v>
                </c:pt>
                <c:pt idx="8">
                  <c:v>0.44014608656466525</c:v>
                </c:pt>
                <c:pt idx="9">
                  <c:v>0.50292366330768279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E5-4A7B-A490-7D480D7D138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'Slow feed'!$K$4:$K$13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55</c:v>
                </c:pt>
                <c:pt idx="5">
                  <c:v>70</c:v>
                </c:pt>
                <c:pt idx="6">
                  <c:v>85</c:v>
                </c:pt>
                <c:pt idx="7">
                  <c:v>100</c:v>
                </c:pt>
                <c:pt idx="8">
                  <c:v>115</c:v>
                </c:pt>
                <c:pt idx="9">
                  <c:v>130</c:v>
                </c:pt>
              </c:numCache>
            </c:numRef>
          </c:xVal>
          <c:yVal>
            <c:numRef>
              <c:f>'Slow feed'!$N$4:$N$13</c:f>
              <c:numCache>
                <c:formatCode>General</c:formatCode>
                <c:ptCount val="10"/>
                <c:pt idx="0">
                  <c:v>0.44658380559107141</c:v>
                </c:pt>
                <c:pt idx="1">
                  <c:v>0.44510795258168728</c:v>
                </c:pt>
                <c:pt idx="2">
                  <c:v>0.46211853595660557</c:v>
                </c:pt>
                <c:pt idx="3">
                  <c:v>0.46977230181015872</c:v>
                </c:pt>
                <c:pt idx="4">
                  <c:v>0.45125326023867063</c:v>
                </c:pt>
                <c:pt idx="5">
                  <c:v>0.44137704408501699</c:v>
                </c:pt>
                <c:pt idx="6">
                  <c:v>0.45836614149547295</c:v>
                </c:pt>
                <c:pt idx="7">
                  <c:v>0.46404680203382326</c:v>
                </c:pt>
                <c:pt idx="8">
                  <c:v>0.45758426760293403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E5-4A7B-A490-7D480D7D1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735136"/>
        <c:axId val="180727456"/>
      </c:scatterChart>
      <c:valAx>
        <c:axId val="180735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27456"/>
        <c:crosses val="autoZero"/>
        <c:crossBetween val="midCat"/>
      </c:valAx>
      <c:valAx>
        <c:axId val="18072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35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together'!$A$3:$A$17</c:f>
              <c:numCache>
                <c:formatCode>General</c:formatCode>
                <c:ptCount val="15"/>
                <c:pt idx="0">
                  <c:v>0</c:v>
                </c:pt>
                <c:pt idx="1">
                  <c:v>9</c:v>
                </c:pt>
                <c:pt idx="2">
                  <c:v>39</c:v>
                </c:pt>
                <c:pt idx="3">
                  <c:v>59</c:v>
                </c:pt>
                <c:pt idx="4">
                  <c:v>79</c:v>
                </c:pt>
                <c:pt idx="5">
                  <c:v>99</c:v>
                </c:pt>
                <c:pt idx="6">
                  <c:v>119</c:v>
                </c:pt>
                <c:pt idx="7">
                  <c:v>139</c:v>
                </c:pt>
                <c:pt idx="8">
                  <c:v>174</c:v>
                </c:pt>
                <c:pt idx="9">
                  <c:v>194</c:v>
                </c:pt>
                <c:pt idx="10">
                  <c:v>214</c:v>
                </c:pt>
                <c:pt idx="11">
                  <c:v>234</c:v>
                </c:pt>
                <c:pt idx="12">
                  <c:v>254</c:v>
                </c:pt>
                <c:pt idx="13">
                  <c:v>274</c:v>
                </c:pt>
                <c:pt idx="14">
                  <c:v>308</c:v>
                </c:pt>
              </c:numCache>
            </c:numRef>
          </c:xVal>
          <c:yVal>
            <c:numRef>
              <c:f>'All together'!$B$3:$B$17</c:f>
              <c:numCache>
                <c:formatCode>General</c:formatCode>
                <c:ptCount val="15"/>
                <c:pt idx="0">
                  <c:v>8.7051957936076075E-5</c:v>
                </c:pt>
                <c:pt idx="1">
                  <c:v>2.1382137168048684E-3</c:v>
                </c:pt>
                <c:pt idx="2">
                  <c:v>1.4200350638322409E-2</c:v>
                </c:pt>
                <c:pt idx="3">
                  <c:v>6.9157339832841433E-2</c:v>
                </c:pt>
                <c:pt idx="4">
                  <c:v>8.6605816651653691E-2</c:v>
                </c:pt>
                <c:pt idx="5">
                  <c:v>9.6823540214400622E-2</c:v>
                </c:pt>
                <c:pt idx="6">
                  <c:v>0.1085701137883999</c:v>
                </c:pt>
                <c:pt idx="7">
                  <c:v>9.8874701973269391E-2</c:v>
                </c:pt>
                <c:pt idx="8">
                  <c:v>0.10275395484879579</c:v>
                </c:pt>
                <c:pt idx="9">
                  <c:v>7.9353300406104346E-2</c:v>
                </c:pt>
                <c:pt idx="10">
                  <c:v>2.6567169412616217E-2</c:v>
                </c:pt>
                <c:pt idx="11">
                  <c:v>-1.7845651376895593E-3</c:v>
                </c:pt>
                <c:pt idx="12">
                  <c:v>-2.8074256434384532E-3</c:v>
                </c:pt>
                <c:pt idx="13">
                  <c:v>-2.6061179907112776E-3</c:v>
                </c:pt>
                <c:pt idx="14">
                  <c:v>-2.7856626539544344E-3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AB-4946-9E75-883C939AC90E}"/>
            </c:ext>
          </c:extLst>
        </c:ser>
        <c:ser>
          <c:idx val="1"/>
          <c:order val="1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'All together'!$A$3:$A$17</c:f>
              <c:numCache>
                <c:formatCode>General</c:formatCode>
                <c:ptCount val="15"/>
                <c:pt idx="0">
                  <c:v>0</c:v>
                </c:pt>
                <c:pt idx="1">
                  <c:v>9</c:v>
                </c:pt>
                <c:pt idx="2">
                  <c:v>39</c:v>
                </c:pt>
                <c:pt idx="3">
                  <c:v>59</c:v>
                </c:pt>
                <c:pt idx="4">
                  <c:v>79</c:v>
                </c:pt>
                <c:pt idx="5">
                  <c:v>99</c:v>
                </c:pt>
                <c:pt idx="6">
                  <c:v>119</c:v>
                </c:pt>
                <c:pt idx="7">
                  <c:v>139</c:v>
                </c:pt>
                <c:pt idx="8">
                  <c:v>174</c:v>
                </c:pt>
                <c:pt idx="9">
                  <c:v>194</c:v>
                </c:pt>
                <c:pt idx="10">
                  <c:v>214</c:v>
                </c:pt>
                <c:pt idx="11">
                  <c:v>234</c:v>
                </c:pt>
                <c:pt idx="12">
                  <c:v>254</c:v>
                </c:pt>
                <c:pt idx="13">
                  <c:v>274</c:v>
                </c:pt>
                <c:pt idx="14">
                  <c:v>308</c:v>
                </c:pt>
              </c:numCache>
            </c:numRef>
          </c:xVal>
          <c:yVal>
            <c:numRef>
              <c:f>'All together'!$C$3:$C$17</c:f>
              <c:numCache>
                <c:formatCode>General</c:formatCode>
                <c:ptCount val="15"/>
                <c:pt idx="0">
                  <c:v>-5.2414054932192441E-4</c:v>
                </c:pt>
                <c:pt idx="1">
                  <c:v>7.0960566677429776E-4</c:v>
                </c:pt>
                <c:pt idx="2">
                  <c:v>1.9046461192282853E-2</c:v>
                </c:pt>
                <c:pt idx="3">
                  <c:v>4.4801921415886341E-2</c:v>
                </c:pt>
                <c:pt idx="4">
                  <c:v>7.3379676905069427E-2</c:v>
                </c:pt>
                <c:pt idx="5">
                  <c:v>9.769173469284792E-2</c:v>
                </c:pt>
                <c:pt idx="6">
                  <c:v>0.11975401996892153</c:v>
                </c:pt>
                <c:pt idx="7">
                  <c:v>0.13355907566798514</c:v>
                </c:pt>
                <c:pt idx="8">
                  <c:v>0.15267004646633842</c:v>
                </c:pt>
                <c:pt idx="9">
                  <c:v>0.1297530089098321</c:v>
                </c:pt>
                <c:pt idx="10">
                  <c:v>8.2394894353406536E-2</c:v>
                </c:pt>
                <c:pt idx="11">
                  <c:v>5.2615647451162421E-2</c:v>
                </c:pt>
                <c:pt idx="12">
                  <c:v>2.6795677621488535E-2</c:v>
                </c:pt>
                <c:pt idx="13">
                  <c:v>1.8103008203503388E-2</c:v>
                </c:pt>
                <c:pt idx="14">
                  <c:v>8.5797776073619648E-3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AB-4946-9E75-883C939AC90E}"/>
            </c:ext>
          </c:extLst>
        </c:ser>
        <c:ser>
          <c:idx val="2"/>
          <c:order val="2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'All together'!$A$3:$A$17</c:f>
              <c:numCache>
                <c:formatCode>General</c:formatCode>
                <c:ptCount val="15"/>
                <c:pt idx="0">
                  <c:v>0</c:v>
                </c:pt>
                <c:pt idx="1">
                  <c:v>9</c:v>
                </c:pt>
                <c:pt idx="2">
                  <c:v>39</c:v>
                </c:pt>
                <c:pt idx="3">
                  <c:v>59</c:v>
                </c:pt>
                <c:pt idx="4">
                  <c:v>79</c:v>
                </c:pt>
                <c:pt idx="5">
                  <c:v>99</c:v>
                </c:pt>
                <c:pt idx="6">
                  <c:v>119</c:v>
                </c:pt>
                <c:pt idx="7">
                  <c:v>139</c:v>
                </c:pt>
                <c:pt idx="8">
                  <c:v>174</c:v>
                </c:pt>
                <c:pt idx="9">
                  <c:v>194</c:v>
                </c:pt>
                <c:pt idx="10">
                  <c:v>214</c:v>
                </c:pt>
                <c:pt idx="11">
                  <c:v>234</c:v>
                </c:pt>
                <c:pt idx="12">
                  <c:v>254</c:v>
                </c:pt>
                <c:pt idx="13">
                  <c:v>274</c:v>
                </c:pt>
                <c:pt idx="14">
                  <c:v>308</c:v>
                </c:pt>
              </c:numCache>
            </c:numRef>
          </c:xVal>
          <c:yVal>
            <c:numRef>
              <c:f>'All together'!$D$3:$D$17</c:f>
              <c:numCache>
                <c:formatCode>General</c:formatCode>
                <c:ptCount val="15"/>
                <c:pt idx="0">
                  <c:v>-5.5857881963506971E-5</c:v>
                </c:pt>
                <c:pt idx="1">
                  <c:v>1.3710571027406257E-4</c:v>
                </c:pt>
                <c:pt idx="2">
                  <c:v>1.2491853602747923E-2</c:v>
                </c:pt>
                <c:pt idx="3">
                  <c:v>7.2508608777901454E-2</c:v>
                </c:pt>
                <c:pt idx="4">
                  <c:v>8.7793356478824705E-2</c:v>
                </c:pt>
                <c:pt idx="5">
                  <c:v>9.6918503195953992E-2</c:v>
                </c:pt>
                <c:pt idx="6">
                  <c:v>9.9000478796411981E-2</c:v>
                </c:pt>
                <c:pt idx="7">
                  <c:v>9.9853580993672808E-2</c:v>
                </c:pt>
                <c:pt idx="8">
                  <c:v>0.11151772234550696</c:v>
                </c:pt>
                <c:pt idx="9">
                  <c:v>8.9220271463528844E-2</c:v>
                </c:pt>
                <c:pt idx="10">
                  <c:v>5.5167275422867236E-2</c:v>
                </c:pt>
                <c:pt idx="11">
                  <c:v>2.4282944686317302E-2</c:v>
                </c:pt>
                <c:pt idx="12">
                  <c:v>-1.4675388988594103E-3</c:v>
                </c:pt>
                <c:pt idx="13">
                  <c:v>3.5698264563950362E-3</c:v>
                </c:pt>
                <c:pt idx="14">
                  <c:v>-2.5339166454354527E-3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BAB-4946-9E75-883C939AC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41904"/>
        <c:axId val="254124144"/>
      </c:scatterChart>
      <c:valAx>
        <c:axId val="254141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124144"/>
        <c:crosses val="autoZero"/>
        <c:crossBetween val="midCat"/>
      </c:valAx>
      <c:valAx>
        <c:axId val="25412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141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together'!$A$22:$A$27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'All together'!$B$22:$B$27</c:f>
              <c:numCache>
                <c:formatCode>_(* #,##0.00_);_(* \(#,##0.00\);_(* "-"??_);_(@_)</c:formatCode>
                <c:ptCount val="6"/>
                <c:pt idx="0">
                  <c:v>7.6963848889354911E-2</c:v>
                </c:pt>
                <c:pt idx="1">
                  <c:v>5.9138666789912323E-2</c:v>
                </c:pt>
                <c:pt idx="2">
                  <c:v>5.6007770922134818E-2</c:v>
                </c:pt>
                <c:pt idx="3">
                  <c:v>6.1933526692899372E-2</c:v>
                </c:pt>
                <c:pt idx="4">
                  <c:v>6.7668343864744337E-2</c:v>
                </c:pt>
                <c:pt idx="5">
                  <c:v>6.9642087248000639E-2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C9-4162-A4F5-151AF4BA2360}"/>
            </c:ext>
          </c:extLst>
        </c:ser>
        <c:ser>
          <c:idx val="1"/>
          <c:order val="1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'All together'!$A$22:$A$27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'All together'!$C$22:$C$27</c:f>
              <c:numCache>
                <c:formatCode>_(* #,##0.00_);_(* \(#,##0.00\);_(* "-"??_);_(@_)</c:formatCode>
                <c:ptCount val="6"/>
                <c:pt idx="0">
                  <c:v>0.10210849672379033</c:v>
                </c:pt>
                <c:pt idx="1">
                  <c:v>0.10300026580668604</c:v>
                </c:pt>
                <c:pt idx="2">
                  <c:v>0.10715807954545453</c:v>
                </c:pt>
                <c:pt idx="3">
                  <c:v>0.11345873294878296</c:v>
                </c:pt>
                <c:pt idx="4">
                  <c:v>0.1209503625364786</c:v>
                </c:pt>
                <c:pt idx="5">
                  <c:v>0.12472399242617106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C9-4162-A4F5-151AF4BA2360}"/>
            </c:ext>
          </c:extLst>
        </c:ser>
        <c:ser>
          <c:idx val="2"/>
          <c:order val="2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'All together'!$A$22:$A$27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'All together'!$D$22:$D$27</c:f>
              <c:numCache>
                <c:formatCode>_(* #,##0.00_);_(* \(#,##0.00\);_(* "-"??_);_(@_)</c:formatCode>
                <c:ptCount val="6"/>
                <c:pt idx="0">
                  <c:v>7.3232917903969713E-2</c:v>
                </c:pt>
                <c:pt idx="1">
                  <c:v>6.5169751292821432E-2</c:v>
                </c:pt>
                <c:pt idx="2">
                  <c:v>6.9498436845807129E-2</c:v>
                </c:pt>
                <c:pt idx="3">
                  <c:v>8.4044628554322778E-2</c:v>
                </c:pt>
                <c:pt idx="4">
                  <c:v>8.4997429554052317E-2</c:v>
                </c:pt>
                <c:pt idx="5">
                  <c:v>8.738660493071769E-2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C9-4162-A4F5-151AF4BA2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25104"/>
        <c:axId val="254132304"/>
      </c:scatterChart>
      <c:valAx>
        <c:axId val="25412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132304"/>
        <c:crosses val="autoZero"/>
        <c:crossBetween val="midCat"/>
      </c:valAx>
      <c:valAx>
        <c:axId val="25413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125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together'!$A$52:$A$57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'All together'!$B$52:$B$57</c:f>
              <c:numCache>
                <c:formatCode>_(* #,##0.00_);_(* \(#,##0.00\);_(* "-"??_);_(@_)</c:formatCode>
                <c:ptCount val="6"/>
                <c:pt idx="0">
                  <c:v>1.5568075638397849E-2</c:v>
                </c:pt>
                <c:pt idx="1">
                  <c:v>7.7373360881133113E-2</c:v>
                </c:pt>
                <c:pt idx="2">
                  <c:v>7.6543970196712552E-2</c:v>
                </c:pt>
                <c:pt idx="3">
                  <c:v>2.5488856301424896E-2</c:v>
                </c:pt>
                <c:pt idx="4">
                  <c:v>7.6878994078687854E-3</c:v>
                </c:pt>
                <c:pt idx="5">
                  <c:v>3.8788005933369772E-3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D6-433D-A4B9-EA3545A6DD45}"/>
            </c:ext>
          </c:extLst>
        </c:ser>
        <c:ser>
          <c:idx val="1"/>
          <c:order val="1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'All together'!$A$52:$A$57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'All together'!$C$52:$C$57</c:f>
              <c:numCache>
                <c:formatCode>_(* #,##0.00_);_(* \(#,##0.00\);_(* "-"??_);_(@_)</c:formatCode>
                <c:ptCount val="6"/>
                <c:pt idx="0">
                  <c:v>2.3451890368273793E-2</c:v>
                </c:pt>
                <c:pt idx="1">
                  <c:v>8.6067425399518935E-2</c:v>
                </c:pt>
                <c:pt idx="2">
                  <c:v>0.16244932071979484</c:v>
                </c:pt>
                <c:pt idx="3">
                  <c:v>9.595836443284024E-2</c:v>
                </c:pt>
                <c:pt idx="4">
                  <c:v>6.2845103357088872E-2</c:v>
                </c:pt>
                <c:pt idx="5">
                  <c:v>3.7101219483852838E-2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D6-433D-A4B9-EA3545A6DD45}"/>
            </c:ext>
          </c:extLst>
        </c:ser>
        <c:ser>
          <c:idx val="2"/>
          <c:order val="2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'All together'!$A$52:$A$57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'All together'!$D$52:$D$57</c:f>
              <c:numCache>
                <c:formatCode>_(* #,##0.00_);_(* \(#,##0.00\);_(* "-"??_);_(@_)</c:formatCode>
                <c:ptCount val="6"/>
                <c:pt idx="0">
                  <c:v>3.0466844180509416E-2</c:v>
                </c:pt>
                <c:pt idx="1">
                  <c:v>6.7435158087460728E-2</c:v>
                </c:pt>
                <c:pt idx="2">
                  <c:v>0.1658278044943213</c:v>
                </c:pt>
                <c:pt idx="3">
                  <c:v>6.5480438963558527E-2</c:v>
                </c:pt>
                <c:pt idx="4">
                  <c:v>4.3337176057310238E-2</c:v>
                </c:pt>
                <c:pt idx="5">
                  <c:v>2.8915570913321403E-2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D6-433D-A4B9-EA3545A6D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5351184"/>
        <c:axId val="1695361264"/>
      </c:scatterChart>
      <c:valAx>
        <c:axId val="1695351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361264"/>
        <c:crosses val="autoZero"/>
        <c:crossBetween val="midCat"/>
      </c:valAx>
      <c:valAx>
        <c:axId val="169536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351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together'!$A$36:$A$41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'All together'!$B$36:$B$41</c:f>
              <c:numCache>
                <c:formatCode>_(* #,##0.00_);_(* \(#,##0.00\);_(* "-"??_);_(@_)</c:formatCode>
                <c:ptCount val="6"/>
                <c:pt idx="0">
                  <c:v>2.2771133987345385E-2</c:v>
                </c:pt>
                <c:pt idx="1">
                  <c:v>0.16467648524534431</c:v>
                </c:pt>
                <c:pt idx="2">
                  <c:v>0.17158085771006026</c:v>
                </c:pt>
                <c:pt idx="3">
                  <c:v>8.20176891284463E-2</c:v>
                </c:pt>
                <c:pt idx="4">
                  <c:v>4.0878616632274462E-2</c:v>
                </c:pt>
                <c:pt idx="5">
                  <c:v>1.9964181199119968E-2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99-4A61-BB09-A43237628F89}"/>
            </c:ext>
          </c:extLst>
        </c:ser>
        <c:ser>
          <c:idx val="1"/>
          <c:order val="1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'All together'!$A$36:$A$41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'All together'!$C$36:$C$41</c:f>
              <c:numCache>
                <c:formatCode>_(* #,##0.00_);_(* \(#,##0.00\);_(* "-"??_);_(@_)</c:formatCode>
                <c:ptCount val="6"/>
                <c:pt idx="0">
                  <c:v>3.6866999045005025E-2</c:v>
                </c:pt>
                <c:pt idx="1">
                  <c:v>4.7817309703729681E-2</c:v>
                </c:pt>
                <c:pt idx="2">
                  <c:v>6.0574501979941922E-2</c:v>
                </c:pt>
                <c:pt idx="3">
                  <c:v>3.9767982536236993E-2</c:v>
                </c:pt>
                <c:pt idx="4">
                  <c:v>2.6817277865217714E-2</c:v>
                </c:pt>
                <c:pt idx="5">
                  <c:v>2.5642999351481708E-2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99-4A61-BB09-A43237628F89}"/>
            </c:ext>
          </c:extLst>
        </c:ser>
        <c:ser>
          <c:idx val="2"/>
          <c:order val="2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'All together'!$A$36:$A$41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'All together'!$D$36:$D$41</c:f>
              <c:numCache>
                <c:formatCode>_(* #,##0.00_);_(* \(#,##0.00\);_(* "-"??_);_(@_)</c:formatCode>
                <c:ptCount val="6"/>
                <c:pt idx="0">
                  <c:v>2.3250577246950177E-2</c:v>
                </c:pt>
                <c:pt idx="1">
                  <c:v>8.1772238590683541E-2</c:v>
                </c:pt>
                <c:pt idx="2">
                  <c:v>8.9364042793370693E-2</c:v>
                </c:pt>
                <c:pt idx="3">
                  <c:v>5.4470379195877182E-2</c:v>
                </c:pt>
                <c:pt idx="4">
                  <c:v>4.4295394022457073E-2</c:v>
                </c:pt>
                <c:pt idx="5">
                  <c:v>3.4960519295222155E-2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E99-4A61-BB09-A43237628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018112"/>
        <c:axId val="1107019072"/>
      </c:scatterChart>
      <c:valAx>
        <c:axId val="1107018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019072"/>
        <c:crosses val="autoZero"/>
        <c:crossBetween val="midCat"/>
      </c:valAx>
      <c:valAx>
        <c:axId val="110701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018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Acetate!$K$20:$K$25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Acetate!$L$20:$L$25</c:f>
              <c:numCache>
                <c:formatCode>_(* #,##0.00_);_(* \(#,##0.00\);_(* "-"??_);_(@_)</c:formatCode>
                <c:ptCount val="6"/>
                <c:pt idx="0">
                  <c:v>2.2771133987345385E-2</c:v>
                </c:pt>
                <c:pt idx="1">
                  <c:v>0.16467648524534431</c:v>
                </c:pt>
                <c:pt idx="2">
                  <c:v>0.17158085771006026</c:v>
                </c:pt>
                <c:pt idx="3">
                  <c:v>8.20176891284463E-2</c:v>
                </c:pt>
                <c:pt idx="4">
                  <c:v>4.0878616632274462E-2</c:v>
                </c:pt>
                <c:pt idx="5">
                  <c:v>1.9964181199119968E-2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8B-4F6E-B8A1-03E6AE21A5D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Acetate!$K$20:$K$25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Acetate!$M$20:$M$25</c:f>
              <c:numCache>
                <c:formatCode>_(* #,##0.00_);_(* \(#,##0.00\);_(* "-"??_);_(@_)</c:formatCode>
                <c:ptCount val="6"/>
                <c:pt idx="0">
                  <c:v>1.5568075638397849E-2</c:v>
                </c:pt>
                <c:pt idx="1">
                  <c:v>7.7373360881133113E-2</c:v>
                </c:pt>
                <c:pt idx="2">
                  <c:v>7.6543970196712552E-2</c:v>
                </c:pt>
                <c:pt idx="3">
                  <c:v>2.5488856301424896E-2</c:v>
                </c:pt>
                <c:pt idx="4">
                  <c:v>7.6878994078687854E-3</c:v>
                </c:pt>
                <c:pt idx="5">
                  <c:v>3.8788005933369772E-3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8B-4F6E-B8A1-03E6AE21A5D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Acetate!$K$20:$K$25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Acetate!$N$20:$N$25</c:f>
              <c:numCache>
                <c:formatCode>_(* #,##0.00_);_(* \(#,##0.00\);_(* "-"??_);_(@_)</c:formatCode>
                <c:ptCount val="6"/>
                <c:pt idx="0">
                  <c:v>7.6963848889354911E-2</c:v>
                </c:pt>
                <c:pt idx="1">
                  <c:v>5.9138666789912323E-2</c:v>
                </c:pt>
                <c:pt idx="2">
                  <c:v>5.6007770922134818E-2</c:v>
                </c:pt>
                <c:pt idx="3">
                  <c:v>6.1933526692899372E-2</c:v>
                </c:pt>
                <c:pt idx="4">
                  <c:v>6.7668343864744337E-2</c:v>
                </c:pt>
                <c:pt idx="5">
                  <c:v>6.9642087248000639E-2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88B-4F6E-B8A1-03E6AE21A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734656"/>
        <c:axId val="180735136"/>
      </c:scatterChart>
      <c:valAx>
        <c:axId val="180734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35136"/>
        <c:crosses val="autoZero"/>
        <c:crossBetween val="midCat"/>
      </c:valAx>
      <c:valAx>
        <c:axId val="18073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34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Acetate!$A$4:$A$18</c:f>
              <c:numCache>
                <c:formatCode>General</c:formatCode>
                <c:ptCount val="15"/>
                <c:pt idx="0">
                  <c:v>0</c:v>
                </c:pt>
                <c:pt idx="1">
                  <c:v>9</c:v>
                </c:pt>
                <c:pt idx="2">
                  <c:v>39</c:v>
                </c:pt>
                <c:pt idx="3">
                  <c:v>59</c:v>
                </c:pt>
                <c:pt idx="4">
                  <c:v>79</c:v>
                </c:pt>
                <c:pt idx="5">
                  <c:v>99</c:v>
                </c:pt>
                <c:pt idx="6">
                  <c:v>119</c:v>
                </c:pt>
                <c:pt idx="7">
                  <c:v>139</c:v>
                </c:pt>
                <c:pt idx="8">
                  <c:v>174</c:v>
                </c:pt>
                <c:pt idx="9">
                  <c:v>194</c:v>
                </c:pt>
                <c:pt idx="10">
                  <c:v>214</c:v>
                </c:pt>
                <c:pt idx="11">
                  <c:v>234</c:v>
                </c:pt>
                <c:pt idx="12">
                  <c:v>254</c:v>
                </c:pt>
                <c:pt idx="13">
                  <c:v>274</c:v>
                </c:pt>
                <c:pt idx="14">
                  <c:v>308</c:v>
                </c:pt>
              </c:numCache>
            </c:numRef>
          </c:xVal>
          <c:yVal>
            <c:numRef>
              <c:f>Acetate!$F$4:$F$18</c:f>
              <c:numCache>
                <c:formatCode>General</c:formatCode>
                <c:ptCount val="15"/>
                <c:pt idx="0">
                  <c:v>8.7051957936076075E-5</c:v>
                </c:pt>
                <c:pt idx="1">
                  <c:v>2.1382137168048684E-3</c:v>
                </c:pt>
                <c:pt idx="2">
                  <c:v>1.4200350638322409E-2</c:v>
                </c:pt>
                <c:pt idx="3">
                  <c:v>6.9157339832841433E-2</c:v>
                </c:pt>
                <c:pt idx="4">
                  <c:v>8.6605816651653691E-2</c:v>
                </c:pt>
                <c:pt idx="5">
                  <c:v>9.6823540214400622E-2</c:v>
                </c:pt>
                <c:pt idx="6">
                  <c:v>0.1085701137883999</c:v>
                </c:pt>
                <c:pt idx="7">
                  <c:v>9.8874701973269391E-2</c:v>
                </c:pt>
                <c:pt idx="8">
                  <c:v>0.10275395484879579</c:v>
                </c:pt>
                <c:pt idx="9">
                  <c:v>7.9353300406104346E-2</c:v>
                </c:pt>
                <c:pt idx="10">
                  <c:v>2.6567169412616217E-2</c:v>
                </c:pt>
                <c:pt idx="11">
                  <c:v>-1.7845651376895593E-3</c:v>
                </c:pt>
                <c:pt idx="12">
                  <c:v>-2.8074256434384532E-3</c:v>
                </c:pt>
                <c:pt idx="13">
                  <c:v>-2.6061179907112776E-3</c:v>
                </c:pt>
                <c:pt idx="14">
                  <c:v>-2.7856626539544344E-3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FC-455F-933C-1242FDE05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725056"/>
        <c:axId val="254139504"/>
      </c:scatterChart>
      <c:valAx>
        <c:axId val="180725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139504"/>
        <c:crosses val="autoZero"/>
        <c:crossBetween val="midCat"/>
      </c:valAx>
      <c:valAx>
        <c:axId val="25413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25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Aspartate!$K$4:$K$9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Aspartate!$L$4:$L$9</c:f>
              <c:numCache>
                <c:formatCode>General</c:formatCode>
                <c:ptCount val="6"/>
                <c:pt idx="0">
                  <c:v>0.15145487829590948</c:v>
                </c:pt>
                <c:pt idx="1">
                  <c:v>0.19644031272454232</c:v>
                </c:pt>
                <c:pt idx="2">
                  <c:v>0.24884867395927701</c:v>
                </c:pt>
                <c:pt idx="3">
                  <c:v>0.16337253129138726</c:v>
                </c:pt>
                <c:pt idx="4">
                  <c:v>0.11016919360173495</c:v>
                </c:pt>
                <c:pt idx="5">
                  <c:v>0.10534509036603955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7E-41FB-86A3-5736C63D925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Aspartate!$K$4:$K$9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Aspartate!$M$4:$M$9</c:f>
              <c:numCache>
                <c:formatCode>General</c:formatCode>
                <c:ptCount val="6"/>
                <c:pt idx="0">
                  <c:v>9.63437028655348E-2</c:v>
                </c:pt>
                <c:pt idx="1">
                  <c:v>0.35357723104106353</c:v>
                </c:pt>
                <c:pt idx="2">
                  <c:v>0.66736492625382715</c:v>
                </c:pt>
                <c:pt idx="3">
                  <c:v>0.39421061608266217</c:v>
                </c:pt>
                <c:pt idx="4">
                  <c:v>0.25817662752594811</c:v>
                </c:pt>
                <c:pt idx="5">
                  <c:v>0.15241708918855104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07E-41FB-86A3-5736C63D925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Aspartate!$K$4:$K$9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Aspartate!$N$4:$N$9</c:f>
              <c:numCache>
                <c:formatCode>General</c:formatCode>
                <c:ptCount val="6"/>
                <c:pt idx="0">
                  <c:v>0.41947623470522777</c:v>
                </c:pt>
                <c:pt idx="1">
                  <c:v>0.42313974899759393</c:v>
                </c:pt>
                <c:pt idx="2">
                  <c:v>0.44022063949843226</c:v>
                </c:pt>
                <c:pt idx="3">
                  <c:v>0.46610462026998645</c:v>
                </c:pt>
                <c:pt idx="4">
                  <c:v>0.49688130068428793</c:v>
                </c:pt>
                <c:pt idx="5">
                  <c:v>0.51238390926329058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07E-41FB-86A3-5736C63D9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650704"/>
        <c:axId val="339635344"/>
      </c:scatterChart>
      <c:valAx>
        <c:axId val="339650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635344"/>
        <c:crosses val="autoZero"/>
        <c:crossBetween val="midCat"/>
      </c:valAx>
      <c:valAx>
        <c:axId val="33963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650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Aspartate!$K$20:$K$25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Aspartate!$L$20:$L$25</c:f>
              <c:numCache>
                <c:formatCode>_(* #,##0.00_);_(* \(#,##0.00\);_(* "-"??_);_(@_)</c:formatCode>
                <c:ptCount val="6"/>
                <c:pt idx="0">
                  <c:v>3.6866999045005025E-2</c:v>
                </c:pt>
                <c:pt idx="1">
                  <c:v>4.7817309703729681E-2</c:v>
                </c:pt>
                <c:pt idx="2">
                  <c:v>6.0574501979941922E-2</c:v>
                </c:pt>
                <c:pt idx="3">
                  <c:v>3.9767982536236993E-2</c:v>
                </c:pt>
                <c:pt idx="4">
                  <c:v>2.6817277865217714E-2</c:v>
                </c:pt>
                <c:pt idx="5">
                  <c:v>2.5642999351481708E-2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8E-4587-8D8D-D830F09770B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Aspartate!$K$20:$K$25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Aspartate!$M$20:$M$25</c:f>
              <c:numCache>
                <c:formatCode>_(* #,##0.00_);_(* \(#,##0.00\);_(* "-"??_);_(@_)</c:formatCode>
                <c:ptCount val="6"/>
                <c:pt idx="0">
                  <c:v>2.3451890368273793E-2</c:v>
                </c:pt>
                <c:pt idx="1">
                  <c:v>8.6067425399518935E-2</c:v>
                </c:pt>
                <c:pt idx="2">
                  <c:v>0.16244932071979484</c:v>
                </c:pt>
                <c:pt idx="3">
                  <c:v>9.595836443284024E-2</c:v>
                </c:pt>
                <c:pt idx="4">
                  <c:v>6.2845103357088872E-2</c:v>
                </c:pt>
                <c:pt idx="5">
                  <c:v>3.7101219483852838E-2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8E-4587-8D8D-D830F09770BF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Aspartate!$K$20:$K$25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Aspartate!$N$20:$N$25</c:f>
              <c:numCache>
                <c:formatCode>_(* #,##0.00_);_(* \(#,##0.00\);_(* "-"??_);_(@_)</c:formatCode>
                <c:ptCount val="6"/>
                <c:pt idx="0">
                  <c:v>0.10210849672379033</c:v>
                </c:pt>
                <c:pt idx="1">
                  <c:v>0.10300026580668604</c:v>
                </c:pt>
                <c:pt idx="2">
                  <c:v>0.10715807954545453</c:v>
                </c:pt>
                <c:pt idx="3">
                  <c:v>0.11345873294878296</c:v>
                </c:pt>
                <c:pt idx="4">
                  <c:v>0.1209503625364786</c:v>
                </c:pt>
                <c:pt idx="5">
                  <c:v>0.12472399242617106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8E-4587-8D8D-D830F0977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743776"/>
        <c:axId val="180742816"/>
      </c:scatterChart>
      <c:valAx>
        <c:axId val="180743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42816"/>
        <c:crosses val="autoZero"/>
        <c:crossBetween val="midCat"/>
      </c:valAx>
      <c:valAx>
        <c:axId val="18074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43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Aspartate!$A$4:$A$18</c:f>
              <c:numCache>
                <c:formatCode>General</c:formatCode>
                <c:ptCount val="15"/>
                <c:pt idx="0">
                  <c:v>0</c:v>
                </c:pt>
                <c:pt idx="1">
                  <c:v>9</c:v>
                </c:pt>
                <c:pt idx="2">
                  <c:v>39</c:v>
                </c:pt>
                <c:pt idx="3">
                  <c:v>59</c:v>
                </c:pt>
                <c:pt idx="4">
                  <c:v>79</c:v>
                </c:pt>
                <c:pt idx="5">
                  <c:v>99</c:v>
                </c:pt>
                <c:pt idx="6">
                  <c:v>119</c:v>
                </c:pt>
                <c:pt idx="7">
                  <c:v>139</c:v>
                </c:pt>
                <c:pt idx="8">
                  <c:v>174</c:v>
                </c:pt>
                <c:pt idx="9">
                  <c:v>194</c:v>
                </c:pt>
                <c:pt idx="10">
                  <c:v>214</c:v>
                </c:pt>
                <c:pt idx="11">
                  <c:v>234</c:v>
                </c:pt>
                <c:pt idx="12">
                  <c:v>254</c:v>
                </c:pt>
                <c:pt idx="13">
                  <c:v>274</c:v>
                </c:pt>
                <c:pt idx="14">
                  <c:v>308</c:v>
                </c:pt>
              </c:numCache>
            </c:numRef>
          </c:xVal>
          <c:yVal>
            <c:numRef>
              <c:f>Aspartate!$F$4:$F$18</c:f>
              <c:numCache>
                <c:formatCode>General</c:formatCode>
                <c:ptCount val="15"/>
                <c:pt idx="0">
                  <c:v>-5.2414054932192441E-4</c:v>
                </c:pt>
                <c:pt idx="1">
                  <c:v>7.0960566677429776E-4</c:v>
                </c:pt>
                <c:pt idx="2">
                  <c:v>1.9046461192282853E-2</c:v>
                </c:pt>
                <c:pt idx="3">
                  <c:v>4.4801921415886341E-2</c:v>
                </c:pt>
                <c:pt idx="4">
                  <c:v>7.3379676905069427E-2</c:v>
                </c:pt>
                <c:pt idx="5">
                  <c:v>9.769173469284792E-2</c:v>
                </c:pt>
                <c:pt idx="6">
                  <c:v>0.11975401996892153</c:v>
                </c:pt>
                <c:pt idx="7">
                  <c:v>0.13355907566798514</c:v>
                </c:pt>
                <c:pt idx="8">
                  <c:v>0.15267004646633842</c:v>
                </c:pt>
                <c:pt idx="9">
                  <c:v>0.1297530089098321</c:v>
                </c:pt>
                <c:pt idx="10">
                  <c:v>8.2394894353406536E-2</c:v>
                </c:pt>
                <c:pt idx="11">
                  <c:v>5.2615647451162421E-2</c:v>
                </c:pt>
                <c:pt idx="12">
                  <c:v>2.6795677621488535E-2</c:v>
                </c:pt>
                <c:pt idx="13">
                  <c:v>1.8103008203503388E-2</c:v>
                </c:pt>
                <c:pt idx="14">
                  <c:v>8.5797776073619648E-3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B9-4716-9A0E-DE80E8C4D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015712"/>
        <c:axId val="339641104"/>
      </c:scatterChart>
      <c:valAx>
        <c:axId val="1107015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641104"/>
        <c:crosses val="autoZero"/>
        <c:crossBetween val="midCat"/>
      </c:valAx>
      <c:valAx>
        <c:axId val="33964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015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Mix!$K$4:$K$9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Mix!$L$4:$L$9</c:f>
              <c:numCache>
                <c:formatCode>General</c:formatCode>
                <c:ptCount val="6"/>
                <c:pt idx="0">
                  <c:v>0.1525018800197401</c:v>
                </c:pt>
                <c:pt idx="1">
                  <c:v>0.53634883925893717</c:v>
                </c:pt>
                <c:pt idx="2">
                  <c:v>0.58614392182203445</c:v>
                </c:pt>
                <c:pt idx="3">
                  <c:v>0.35727436547189523</c:v>
                </c:pt>
                <c:pt idx="4">
                  <c:v>0.29053604961683027</c:v>
                </c:pt>
                <c:pt idx="5">
                  <c:v>0.22930806673572487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8F-452E-9665-CB009DE412C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Mix!$K$4:$K$9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Mix!$M$4:$M$9</c:f>
              <c:numCache>
                <c:formatCode>General</c:formatCode>
                <c:ptCount val="6"/>
                <c:pt idx="0">
                  <c:v>0.19983379192899917</c:v>
                </c:pt>
                <c:pt idx="1">
                  <c:v>0.44231109957130688</c:v>
                </c:pt>
                <c:pt idx="2">
                  <c:v>1.0876741543372701</c:v>
                </c:pt>
                <c:pt idx="3">
                  <c:v>0.42948998385708409</c:v>
                </c:pt>
                <c:pt idx="4">
                  <c:v>0.28425104259952061</c:v>
                </c:pt>
                <c:pt idx="5">
                  <c:v>0.18965890090767762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8F-452E-9665-CB009DE412C6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Mix!$K$4:$K$9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Mix!$N$4:$N$9</c:f>
              <c:numCache>
                <c:formatCode>General</c:formatCode>
                <c:ptCount val="6"/>
                <c:pt idx="0">
                  <c:v>0.48033894131173083</c:v>
                </c:pt>
                <c:pt idx="1">
                  <c:v>0.42745216546732445</c:v>
                </c:pt>
                <c:pt idx="2">
                  <c:v>0.45584426420247298</c:v>
                </c:pt>
                <c:pt idx="3">
                  <c:v>0.55125357637200945</c:v>
                </c:pt>
                <c:pt idx="4">
                  <c:v>0.55750305320005267</c:v>
                </c:pt>
                <c:pt idx="5">
                  <c:v>0.57317379258722778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F8F-452E-9665-CB009DE412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637744"/>
        <c:axId val="339639184"/>
      </c:scatterChart>
      <c:valAx>
        <c:axId val="33963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639184"/>
        <c:crosses val="autoZero"/>
        <c:crossBetween val="midCat"/>
      </c:valAx>
      <c:valAx>
        <c:axId val="33963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637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Mix!$K$20:$K$25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Mix!$L$20:$L$25</c:f>
              <c:numCache>
                <c:formatCode>_(* #,##0.00_);_(* \(#,##0.00\);_(* "-"??_);_(@_)</c:formatCode>
                <c:ptCount val="6"/>
                <c:pt idx="0">
                  <c:v>2.3250577246950177E-2</c:v>
                </c:pt>
                <c:pt idx="1">
                  <c:v>8.1772238590683541E-2</c:v>
                </c:pt>
                <c:pt idx="2">
                  <c:v>8.9364042793370693E-2</c:v>
                </c:pt>
                <c:pt idx="3">
                  <c:v>5.4470379195877182E-2</c:v>
                </c:pt>
                <c:pt idx="4">
                  <c:v>4.4295394022457073E-2</c:v>
                </c:pt>
                <c:pt idx="5">
                  <c:v>3.4960519295222155E-2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44-401B-9E6A-D2E7A041013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Mix!$K$20:$K$25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Mix!$M$20:$M$25</c:f>
              <c:numCache>
                <c:formatCode>_(* #,##0.00_);_(* \(#,##0.00\);_(* "-"??_);_(@_)</c:formatCode>
                <c:ptCount val="6"/>
                <c:pt idx="0">
                  <c:v>3.0466844180509416E-2</c:v>
                </c:pt>
                <c:pt idx="1">
                  <c:v>6.7435158087460728E-2</c:v>
                </c:pt>
                <c:pt idx="2">
                  <c:v>0.1658278044943213</c:v>
                </c:pt>
                <c:pt idx="3">
                  <c:v>6.5480438963558527E-2</c:v>
                </c:pt>
                <c:pt idx="4">
                  <c:v>4.3337176057310238E-2</c:v>
                </c:pt>
                <c:pt idx="5">
                  <c:v>2.8915570913321403E-2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544-401B-9E6A-D2E7A041013C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Mix!$K$20:$K$25</c:f>
              <c:numCache>
                <c:formatCode>General</c:formatCode>
                <c:ptCount val="6"/>
                <c:pt idx="0">
                  <c:v>39</c:v>
                </c:pt>
                <c:pt idx="1">
                  <c:v>79</c:v>
                </c:pt>
                <c:pt idx="2">
                  <c:v>174</c:v>
                </c:pt>
                <c:pt idx="3">
                  <c:v>214</c:v>
                </c:pt>
                <c:pt idx="4">
                  <c:v>254</c:v>
                </c:pt>
                <c:pt idx="5">
                  <c:v>308</c:v>
                </c:pt>
              </c:numCache>
            </c:numRef>
          </c:xVal>
          <c:yVal>
            <c:numRef>
              <c:f>Mix!$N$20:$N$25</c:f>
              <c:numCache>
                <c:formatCode>_(* #,##0.00_);_(* \(#,##0.00\);_(* "-"??_);_(@_)</c:formatCode>
                <c:ptCount val="6"/>
                <c:pt idx="0">
                  <c:v>7.3232917903969713E-2</c:v>
                </c:pt>
                <c:pt idx="1">
                  <c:v>6.5169751292821432E-2</c:v>
                </c:pt>
                <c:pt idx="2">
                  <c:v>6.9498436845807129E-2</c:v>
                </c:pt>
                <c:pt idx="3">
                  <c:v>8.4044628554322778E-2</c:v>
                </c:pt>
                <c:pt idx="4">
                  <c:v>8.4997429554052317E-2</c:v>
                </c:pt>
                <c:pt idx="5">
                  <c:v>8.738660493071769E-2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544-401B-9E6A-D2E7A0410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49584"/>
        <c:axId val="254148624"/>
      </c:scatterChart>
      <c:valAx>
        <c:axId val="254149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148624"/>
        <c:crosses val="autoZero"/>
        <c:crossBetween val="midCat"/>
      </c:valAx>
      <c:valAx>
        <c:axId val="25414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149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Mix!$A$4:$A$18</c:f>
              <c:numCache>
                <c:formatCode>General</c:formatCode>
                <c:ptCount val="15"/>
                <c:pt idx="0">
                  <c:v>0</c:v>
                </c:pt>
                <c:pt idx="1">
                  <c:v>9</c:v>
                </c:pt>
                <c:pt idx="2">
                  <c:v>39</c:v>
                </c:pt>
                <c:pt idx="3">
                  <c:v>59</c:v>
                </c:pt>
                <c:pt idx="4">
                  <c:v>79</c:v>
                </c:pt>
                <c:pt idx="5">
                  <c:v>99</c:v>
                </c:pt>
                <c:pt idx="6">
                  <c:v>119</c:v>
                </c:pt>
                <c:pt idx="7">
                  <c:v>139</c:v>
                </c:pt>
                <c:pt idx="8">
                  <c:v>174</c:v>
                </c:pt>
                <c:pt idx="9">
                  <c:v>194</c:v>
                </c:pt>
                <c:pt idx="10">
                  <c:v>214</c:v>
                </c:pt>
                <c:pt idx="11">
                  <c:v>234</c:v>
                </c:pt>
                <c:pt idx="12">
                  <c:v>254</c:v>
                </c:pt>
                <c:pt idx="13">
                  <c:v>274</c:v>
                </c:pt>
                <c:pt idx="14">
                  <c:v>308</c:v>
                </c:pt>
              </c:numCache>
            </c:numRef>
          </c:xVal>
          <c:yVal>
            <c:numRef>
              <c:f>Mix!$F$4:$F$18</c:f>
              <c:numCache>
                <c:formatCode>General</c:formatCode>
                <c:ptCount val="15"/>
                <c:pt idx="0">
                  <c:v>-5.5857881963506971E-5</c:v>
                </c:pt>
                <c:pt idx="1">
                  <c:v>1.3710571027406257E-4</c:v>
                </c:pt>
                <c:pt idx="2">
                  <c:v>1.2491853602747923E-2</c:v>
                </c:pt>
                <c:pt idx="3">
                  <c:v>7.2508608777901454E-2</c:v>
                </c:pt>
                <c:pt idx="4">
                  <c:v>8.7793356478824705E-2</c:v>
                </c:pt>
                <c:pt idx="5">
                  <c:v>9.6918503195953992E-2</c:v>
                </c:pt>
                <c:pt idx="6">
                  <c:v>9.9000478796411981E-2</c:v>
                </c:pt>
                <c:pt idx="7">
                  <c:v>9.9853580993672808E-2</c:v>
                </c:pt>
                <c:pt idx="8">
                  <c:v>0.11151772234550696</c:v>
                </c:pt>
                <c:pt idx="9">
                  <c:v>8.9220271463528844E-2</c:v>
                </c:pt>
                <c:pt idx="10">
                  <c:v>5.5167275422867236E-2</c:v>
                </c:pt>
                <c:pt idx="11">
                  <c:v>2.4282944686317302E-2</c:v>
                </c:pt>
                <c:pt idx="12">
                  <c:v>-1.4675388988594103E-3</c:v>
                </c:pt>
                <c:pt idx="13">
                  <c:v>3.5698264563950362E-3</c:v>
                </c:pt>
                <c:pt idx="14">
                  <c:v>-2.5339166454354527E-3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CA-4C48-9006-2BB768AA4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711616"/>
        <c:axId val="180713056"/>
      </c:scatterChart>
      <c:valAx>
        <c:axId val="180711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13056"/>
        <c:crosses val="autoZero"/>
        <c:crossBetween val="midCat"/>
      </c:valAx>
      <c:valAx>
        <c:axId val="18071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11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238125</xdr:colOff>
      <xdr:row>2</xdr:row>
      <xdr:rowOff>119062</xdr:rowOff>
    </xdr:from>
    <xdr:to>
      <xdr:col>22</xdr:col>
      <xdr:colOff>542925</xdr:colOff>
      <xdr:row>15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9AAC0E7-AFFD-418A-E296-6927B8E166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314325</xdr:colOff>
      <xdr:row>15</xdr:row>
      <xdr:rowOff>128587</xdr:rowOff>
    </xdr:from>
    <xdr:to>
      <xdr:col>23</xdr:col>
      <xdr:colOff>9525</xdr:colOff>
      <xdr:row>28</xdr:row>
      <xdr:rowOff>14287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BEFB614-14BC-7116-9600-8023F7960E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18</xdr:row>
      <xdr:rowOff>376237</xdr:rowOff>
    </xdr:from>
    <xdr:to>
      <xdr:col>7</xdr:col>
      <xdr:colOff>238125</xdr:colOff>
      <xdr:row>32</xdr:row>
      <xdr:rowOff>71437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5596461-DDD2-C9C1-CEAD-FC120852AC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85725</xdr:colOff>
      <xdr:row>2</xdr:row>
      <xdr:rowOff>176212</xdr:rowOff>
    </xdr:from>
    <xdr:to>
      <xdr:col>22</xdr:col>
      <xdr:colOff>390525</xdr:colOff>
      <xdr:row>15</xdr:row>
      <xdr:rowOff>61912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5022594-6B28-F7E9-BCC4-56D650E8DC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19050</xdr:colOff>
      <xdr:row>17</xdr:row>
      <xdr:rowOff>166687</xdr:rowOff>
    </xdr:from>
    <xdr:to>
      <xdr:col>22</xdr:col>
      <xdr:colOff>323850</xdr:colOff>
      <xdr:row>30</xdr:row>
      <xdr:rowOff>52387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7DDBC66-BF31-8D6E-5582-A9B73337E3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18</xdr:row>
      <xdr:rowOff>357187</xdr:rowOff>
    </xdr:from>
    <xdr:to>
      <xdr:col>7</xdr:col>
      <xdr:colOff>600075</xdr:colOff>
      <xdr:row>32</xdr:row>
      <xdr:rowOff>52387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E9A8E6D-A22C-5BB7-1331-F31AC7219D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504825</xdr:colOff>
      <xdr:row>1</xdr:row>
      <xdr:rowOff>100012</xdr:rowOff>
    </xdr:from>
    <xdr:to>
      <xdr:col>25</xdr:col>
      <xdr:colOff>200025</xdr:colOff>
      <xdr:row>13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5B15908-3219-85E5-7335-AE1F1A663E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390525</xdr:colOff>
      <xdr:row>14</xdr:row>
      <xdr:rowOff>100012</xdr:rowOff>
    </xdr:from>
    <xdr:to>
      <xdr:col>25</xdr:col>
      <xdr:colOff>85725</xdr:colOff>
      <xdr:row>26</xdr:row>
      <xdr:rowOff>176212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7EEFF5B-A49B-9DB8-38DD-5F75DBFD74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504825</xdr:colOff>
      <xdr:row>18</xdr:row>
      <xdr:rowOff>290512</xdr:rowOff>
    </xdr:from>
    <xdr:to>
      <xdr:col>7</xdr:col>
      <xdr:colOff>571500</xdr:colOff>
      <xdr:row>31</xdr:row>
      <xdr:rowOff>176212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D965DA6-3DEF-E073-9D21-D0E05B23CD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200025</xdr:colOff>
      <xdr:row>2</xdr:row>
      <xdr:rowOff>14287</xdr:rowOff>
    </xdr:from>
    <xdr:to>
      <xdr:col>22</xdr:col>
      <xdr:colOff>504825</xdr:colOff>
      <xdr:row>14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D7A456-47B3-4866-A89A-18491889C9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1</xdr:row>
      <xdr:rowOff>100012</xdr:rowOff>
    </xdr:from>
    <xdr:to>
      <xdr:col>12</xdr:col>
      <xdr:colOff>190500</xdr:colOff>
      <xdr:row>15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4B339B-64AD-5D8B-5BA0-9C8BC0CA72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523875</xdr:colOff>
      <xdr:row>16</xdr:row>
      <xdr:rowOff>100012</xdr:rowOff>
    </xdr:from>
    <xdr:to>
      <xdr:col>12</xdr:col>
      <xdr:colOff>219075</xdr:colOff>
      <xdr:row>30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B9793A-26D1-A045-2DD1-83C2993A9C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542925</xdr:colOff>
      <xdr:row>47</xdr:row>
      <xdr:rowOff>42862</xdr:rowOff>
    </xdr:from>
    <xdr:to>
      <xdr:col>12</xdr:col>
      <xdr:colOff>238125</xdr:colOff>
      <xdr:row>61</xdr:row>
      <xdr:rowOff>119062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CF3CF1D-48B1-50D3-FFB2-EA550F1654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542925</xdr:colOff>
      <xdr:row>32</xdr:row>
      <xdr:rowOff>4762</xdr:rowOff>
    </xdr:from>
    <xdr:to>
      <xdr:col>12</xdr:col>
      <xdr:colOff>238125</xdr:colOff>
      <xdr:row>46</xdr:row>
      <xdr:rowOff>80962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AD45306-28B8-DFDA-4507-36F9EB96F6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85103-EB89-4FE3-A266-F15C5994FEC3}">
  <dimension ref="A1:O25"/>
  <sheetViews>
    <sheetView zoomScaleNormal="100" workbookViewId="0">
      <selection activeCell="B12" sqref="B12"/>
    </sheetView>
  </sheetViews>
  <sheetFormatPr defaultRowHeight="15" x14ac:dyDescent="0.25"/>
  <cols>
    <col min="6" max="6" width="11" bestFit="1" customWidth="1"/>
  </cols>
  <sheetData>
    <row r="1" spans="1:15" ht="21" x14ac:dyDescent="0.35">
      <c r="A1" s="10" t="s">
        <v>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5" x14ac:dyDescent="0.25">
      <c r="C2" s="11" t="s">
        <v>12</v>
      </c>
      <c r="D2" s="11"/>
      <c r="E2" s="1"/>
      <c r="F2" s="1"/>
    </row>
    <row r="3" spans="1:15" ht="45" x14ac:dyDescent="0.25">
      <c r="A3" t="s">
        <v>9</v>
      </c>
      <c r="B3" t="s">
        <v>8</v>
      </c>
      <c r="C3" t="s">
        <v>10</v>
      </c>
      <c r="D3" s="2" t="s">
        <v>14</v>
      </c>
      <c r="E3" s="2" t="s">
        <v>36</v>
      </c>
      <c r="F3" s="2" t="s">
        <v>37</v>
      </c>
      <c r="G3" s="2" t="s">
        <v>13</v>
      </c>
      <c r="H3" s="2" t="s">
        <v>15</v>
      </c>
      <c r="K3" t="s">
        <v>0</v>
      </c>
      <c r="L3" s="2" t="s">
        <v>20</v>
      </c>
      <c r="M3" s="2" t="s">
        <v>21</v>
      </c>
      <c r="N3" s="2" t="s">
        <v>22</v>
      </c>
      <c r="O3" s="2" t="s">
        <v>19</v>
      </c>
    </row>
    <row r="4" spans="1:15" x14ac:dyDescent="0.25">
      <c r="A4">
        <v>0</v>
      </c>
      <c r="C4">
        <v>0.16</v>
      </c>
      <c r="D4">
        <f>C4/30.97</f>
        <v>5.1662899580238947E-3</v>
      </c>
      <c r="E4" s="7">
        <f>D4/$O$4</f>
        <v>3.7171503995578586E-4</v>
      </c>
      <c r="F4">
        <f>E4/$N$13</f>
        <v>8.7051957936076075E-5</v>
      </c>
      <c r="G4">
        <f>0</f>
        <v>0</v>
      </c>
      <c r="H4">
        <v>0</v>
      </c>
      <c r="K4">
        <v>39</v>
      </c>
      <c r="L4">
        <v>9.7233573840581441E-2</v>
      </c>
      <c r="M4">
        <v>6.6476251599202119E-2</v>
      </c>
      <c r="N4">
        <v>0.32863844585856972</v>
      </c>
      <c r="O4" s="6">
        <v>13.898522800256901</v>
      </c>
    </row>
    <row r="5" spans="1:15" x14ac:dyDescent="0.25">
      <c r="A5">
        <v>9</v>
      </c>
      <c r="B5">
        <v>1.64</v>
      </c>
      <c r="C5">
        <v>3.93</v>
      </c>
      <c r="D5">
        <f t="shared" ref="D5:D18" si="0">C5/30.97</f>
        <v>0.12689699709396191</v>
      </c>
      <c r="E5" s="7">
        <f t="shared" ref="E5:E18" si="1">D5/$O$4</f>
        <v>9.1302506689139896E-3</v>
      </c>
      <c r="F5">
        <f t="shared" ref="F5:F18" si="2">E5/$N$13</f>
        <v>2.1382137168048684E-3</v>
      </c>
      <c r="G5">
        <f>7.6253</f>
        <v>7.6253000000000002</v>
      </c>
      <c r="H5">
        <v>0</v>
      </c>
      <c r="K5">
        <v>79</v>
      </c>
      <c r="L5">
        <v>0.70317460679863419</v>
      </c>
      <c r="M5">
        <v>0.33038707702086922</v>
      </c>
      <c r="N5">
        <v>0.25252426722999738</v>
      </c>
    </row>
    <row r="6" spans="1:15" x14ac:dyDescent="0.25">
      <c r="A6">
        <v>39</v>
      </c>
      <c r="B6">
        <v>13.54</v>
      </c>
      <c r="C6">
        <v>26.1</v>
      </c>
      <c r="D6">
        <f t="shared" si="0"/>
        <v>0.84275104940264778</v>
      </c>
      <c r="E6" s="7">
        <f t="shared" si="1"/>
        <v>6.0636015892787568E-2</v>
      </c>
      <c r="F6">
        <f t="shared" si="2"/>
        <v>1.4200350638322409E-2</v>
      </c>
      <c r="G6">
        <f>2.8807</f>
        <v>2.8807</v>
      </c>
      <c r="H6">
        <v>0</v>
      </c>
      <c r="K6">
        <v>174</v>
      </c>
      <c r="L6">
        <v>0.73265652940485659</v>
      </c>
      <c r="M6">
        <v>0.32684554850493702</v>
      </c>
      <c r="N6">
        <v>0.23915522751876053</v>
      </c>
    </row>
    <row r="7" spans="1:15" x14ac:dyDescent="0.25">
      <c r="A7">
        <v>59</v>
      </c>
      <c r="B7">
        <v>13.29</v>
      </c>
      <c r="C7">
        <v>127.11</v>
      </c>
      <c r="D7">
        <f t="shared" si="0"/>
        <v>4.1042944785276072</v>
      </c>
      <c r="E7" s="7">
        <f t="shared" si="1"/>
        <v>0.29530436705487462</v>
      </c>
      <c r="F7">
        <f t="shared" si="2"/>
        <v>6.9157339832841433E-2</v>
      </c>
      <c r="G7">
        <f>0.2714</f>
        <v>0.27139999999999997</v>
      </c>
      <c r="H7">
        <v>0</v>
      </c>
      <c r="K7">
        <v>214</v>
      </c>
      <c r="L7">
        <v>0.35021852827077116</v>
      </c>
      <c r="M7">
        <v>0.1088383473863829</v>
      </c>
      <c r="N7">
        <v>0.26445842109788087</v>
      </c>
    </row>
    <row r="8" spans="1:15" x14ac:dyDescent="0.25">
      <c r="A8">
        <v>79</v>
      </c>
      <c r="B8">
        <v>13.24</v>
      </c>
      <c r="C8">
        <v>159.18</v>
      </c>
      <c r="D8">
        <f t="shared" si="0"/>
        <v>5.1398127219890224</v>
      </c>
      <c r="E8" s="7">
        <f t="shared" si="1"/>
        <v>0.36981000037601247</v>
      </c>
      <c r="F8">
        <f t="shared" si="2"/>
        <v>8.6605816651653691E-2</v>
      </c>
      <c r="G8">
        <f>0.2488</f>
        <v>0.24879999999999999</v>
      </c>
      <c r="H8">
        <v>0</v>
      </c>
      <c r="K8">
        <v>254</v>
      </c>
      <c r="L8">
        <v>0.17455318610939546</v>
      </c>
      <c r="M8">
        <v>3.2827611271770335E-2</v>
      </c>
      <c r="N8">
        <v>0.28894629988559106</v>
      </c>
    </row>
    <row r="9" spans="1:15" x14ac:dyDescent="0.25">
      <c r="A9">
        <v>99</v>
      </c>
      <c r="B9">
        <v>12.69</v>
      </c>
      <c r="C9">
        <v>177.96</v>
      </c>
      <c r="D9">
        <f t="shared" si="0"/>
        <v>5.746206005812077</v>
      </c>
      <c r="E9" s="7">
        <f t="shared" si="1"/>
        <v>0.41344005319082283</v>
      </c>
      <c r="F9">
        <f t="shared" si="2"/>
        <v>9.6823540214400622E-2</v>
      </c>
      <c r="G9">
        <f>0.1932</f>
        <v>0.19320000000000001</v>
      </c>
      <c r="H9">
        <v>0</v>
      </c>
      <c r="K9">
        <v>308</v>
      </c>
      <c r="L9">
        <v>8.5247782911038031E-2</v>
      </c>
      <c r="M9">
        <v>1.6562620206561327E-2</v>
      </c>
      <c r="N9">
        <v>0.29737425622298136</v>
      </c>
    </row>
    <row r="10" spans="1:15" x14ac:dyDescent="0.25">
      <c r="A10">
        <v>119</v>
      </c>
      <c r="B10">
        <v>12.65</v>
      </c>
      <c r="C10">
        <v>199.55</v>
      </c>
      <c r="D10">
        <f t="shared" si="0"/>
        <v>6.4433322570229263</v>
      </c>
      <c r="E10" s="7">
        <f t="shared" si="1"/>
        <v>0.46359835139485672</v>
      </c>
      <c r="F10">
        <f t="shared" si="2"/>
        <v>0.1085701137883999</v>
      </c>
      <c r="G10">
        <f>0.258</f>
        <v>0.25800000000000001</v>
      </c>
      <c r="H10">
        <v>0</v>
      </c>
    </row>
    <row r="11" spans="1:15" x14ac:dyDescent="0.25">
      <c r="A11">
        <v>139</v>
      </c>
      <c r="B11">
        <v>12.14</v>
      </c>
      <c r="C11">
        <v>181.73</v>
      </c>
      <c r="D11">
        <f t="shared" si="0"/>
        <v>5.8679367129480138</v>
      </c>
      <c r="E11" s="7">
        <f t="shared" si="1"/>
        <v>0.42219858881978095</v>
      </c>
      <c r="F11">
        <f t="shared" si="2"/>
        <v>9.8874701973269391E-2</v>
      </c>
      <c r="G11">
        <f>0.2069</f>
        <v>0.2069</v>
      </c>
      <c r="H11">
        <v>0</v>
      </c>
      <c r="K11" s="9" t="s">
        <v>23</v>
      </c>
      <c r="L11" s="9"/>
      <c r="M11" s="9"/>
      <c r="N11" s="9"/>
    </row>
    <row r="12" spans="1:15" x14ac:dyDescent="0.25">
      <c r="A12">
        <v>174</v>
      </c>
      <c r="B12">
        <v>13.62</v>
      </c>
      <c r="C12">
        <v>188.86</v>
      </c>
      <c r="D12">
        <f t="shared" si="0"/>
        <v>6.0981595092024543</v>
      </c>
      <c r="E12" s="7">
        <f t="shared" si="1"/>
        <v>0.43876314028781072</v>
      </c>
      <c r="F12">
        <f t="shared" si="2"/>
        <v>0.10275395484879579</v>
      </c>
      <c r="L12" t="s">
        <v>24</v>
      </c>
      <c r="M12" t="s">
        <v>25</v>
      </c>
      <c r="N12" t="s">
        <v>26</v>
      </c>
    </row>
    <row r="13" spans="1:15" x14ac:dyDescent="0.25">
      <c r="A13">
        <v>194</v>
      </c>
      <c r="B13">
        <v>11.25</v>
      </c>
      <c r="C13">
        <v>145.85</v>
      </c>
      <c r="D13">
        <f t="shared" si="0"/>
        <v>4.709396189861156</v>
      </c>
      <c r="E13" s="7">
        <f t="shared" si="1"/>
        <v>0.33884149110969602</v>
      </c>
      <c r="F13">
        <f t="shared" si="2"/>
        <v>7.9353300406104346E-2</v>
      </c>
      <c r="K13" t="s">
        <v>7</v>
      </c>
      <c r="L13">
        <f>G5-G11</f>
        <v>7.4184000000000001</v>
      </c>
      <c r="M13">
        <f>L13*8</f>
        <v>59.347200000000001</v>
      </c>
      <c r="N13" s="7">
        <f>M13/O4</f>
        <v>4.2700365249537908</v>
      </c>
      <c r="O13" s="7"/>
    </row>
    <row r="14" spans="1:15" x14ac:dyDescent="0.25">
      <c r="A14">
        <v>214</v>
      </c>
      <c r="B14">
        <v>9.06</v>
      </c>
      <c r="C14">
        <v>48.83</v>
      </c>
      <c r="D14">
        <f t="shared" si="0"/>
        <v>1.5766871165644172</v>
      </c>
      <c r="E14" s="7">
        <f t="shared" si="1"/>
        <v>0.11344278375650639</v>
      </c>
      <c r="F14">
        <f t="shared" si="2"/>
        <v>2.6567169412616217E-2</v>
      </c>
      <c r="K14" t="s">
        <v>4</v>
      </c>
      <c r="L14">
        <f>H5-H11</f>
        <v>0</v>
      </c>
      <c r="M14">
        <f>L14*12</f>
        <v>0</v>
      </c>
      <c r="N14" s="7">
        <f>M14/O4</f>
        <v>0</v>
      </c>
    </row>
    <row r="15" spans="1:15" x14ac:dyDescent="0.25">
      <c r="A15">
        <v>234</v>
      </c>
      <c r="B15">
        <v>8.67</v>
      </c>
      <c r="C15">
        <v>-3.28</v>
      </c>
      <c r="D15">
        <f t="shared" si="0"/>
        <v>-0.10590894413948983</v>
      </c>
      <c r="E15" s="7">
        <f t="shared" si="1"/>
        <v>-7.6201583190936093E-3</v>
      </c>
      <c r="F15">
        <f t="shared" si="2"/>
        <v>-1.7845651376895593E-3</v>
      </c>
    </row>
    <row r="16" spans="1:15" x14ac:dyDescent="0.25">
      <c r="A16">
        <v>254</v>
      </c>
      <c r="B16">
        <v>7.44</v>
      </c>
      <c r="C16">
        <v>-5.16</v>
      </c>
      <c r="D16">
        <f t="shared" si="0"/>
        <v>-0.16661285114627059</v>
      </c>
      <c r="E16" s="7">
        <f t="shared" si="1"/>
        <v>-1.1987810038574093E-2</v>
      </c>
      <c r="F16">
        <f t="shared" si="2"/>
        <v>-2.8074256434384532E-3</v>
      </c>
    </row>
    <row r="17" spans="1:14" x14ac:dyDescent="0.25">
      <c r="A17">
        <v>274</v>
      </c>
      <c r="B17">
        <v>6.61</v>
      </c>
      <c r="C17">
        <v>-4.79</v>
      </c>
      <c r="D17">
        <f t="shared" si="0"/>
        <v>-0.15466580561834034</v>
      </c>
      <c r="E17" s="7">
        <f t="shared" si="1"/>
        <v>-1.1128219008676339E-2</v>
      </c>
      <c r="F17">
        <f t="shared" si="2"/>
        <v>-2.6061179907112776E-3</v>
      </c>
    </row>
    <row r="18" spans="1:14" x14ac:dyDescent="0.25">
      <c r="A18">
        <v>308</v>
      </c>
      <c r="B18">
        <v>5.04</v>
      </c>
      <c r="C18">
        <v>-5.12</v>
      </c>
      <c r="D18">
        <f t="shared" si="0"/>
        <v>-0.16532127865676463</v>
      </c>
      <c r="E18" s="7">
        <f t="shared" si="1"/>
        <v>-1.1894881278585148E-2</v>
      </c>
      <c r="F18">
        <f t="shared" si="2"/>
        <v>-2.7856626539544344E-3</v>
      </c>
    </row>
    <row r="19" spans="1:14" ht="45" x14ac:dyDescent="0.25">
      <c r="E19" s="7"/>
      <c r="K19" t="s">
        <v>0</v>
      </c>
      <c r="L19" s="2" t="s">
        <v>33</v>
      </c>
      <c r="M19" s="2" t="s">
        <v>34</v>
      </c>
      <c r="N19" s="2" t="s">
        <v>35</v>
      </c>
    </row>
    <row r="20" spans="1:14" x14ac:dyDescent="0.25">
      <c r="E20" s="7"/>
      <c r="K20">
        <v>39</v>
      </c>
      <c r="L20" s="7">
        <f>L4/$N$13</f>
        <v>2.2771133987345385E-2</v>
      </c>
      <c r="M20" s="7">
        <f t="shared" ref="M20:N20" si="3">M4/$N$13</f>
        <v>1.5568075638397849E-2</v>
      </c>
      <c r="N20" s="7">
        <f t="shared" si="3"/>
        <v>7.6963848889354911E-2</v>
      </c>
    </row>
    <row r="21" spans="1:14" x14ac:dyDescent="0.25">
      <c r="E21" s="7"/>
      <c r="K21">
        <v>79</v>
      </c>
      <c r="L21" s="7">
        <f t="shared" ref="L21:N25" si="4">L5/$N$13</f>
        <v>0.16467648524534431</v>
      </c>
      <c r="M21" s="7">
        <f t="shared" si="4"/>
        <v>7.7373360881133113E-2</v>
      </c>
      <c r="N21" s="7">
        <f t="shared" si="4"/>
        <v>5.9138666789912323E-2</v>
      </c>
    </row>
    <row r="22" spans="1:14" x14ac:dyDescent="0.25">
      <c r="E22" s="7"/>
      <c r="K22">
        <v>174</v>
      </c>
      <c r="L22" s="7">
        <f t="shared" si="4"/>
        <v>0.17158085771006026</v>
      </c>
      <c r="M22" s="7">
        <f t="shared" si="4"/>
        <v>7.6543970196712552E-2</v>
      </c>
      <c r="N22" s="7">
        <f t="shared" si="4"/>
        <v>5.6007770922134818E-2</v>
      </c>
    </row>
    <row r="23" spans="1:14" x14ac:dyDescent="0.25">
      <c r="E23" s="7"/>
      <c r="K23">
        <v>214</v>
      </c>
      <c r="L23" s="7">
        <f t="shared" si="4"/>
        <v>8.20176891284463E-2</v>
      </c>
      <c r="M23" s="7">
        <f t="shared" si="4"/>
        <v>2.5488856301424896E-2</v>
      </c>
      <c r="N23" s="7">
        <f t="shared" si="4"/>
        <v>6.1933526692899372E-2</v>
      </c>
    </row>
    <row r="24" spans="1:14" x14ac:dyDescent="0.25">
      <c r="E24" s="7"/>
      <c r="K24">
        <v>254</v>
      </c>
      <c r="L24" s="7">
        <f t="shared" si="4"/>
        <v>4.0878616632274462E-2</v>
      </c>
      <c r="M24" s="7">
        <f t="shared" si="4"/>
        <v>7.6878994078687854E-3</v>
      </c>
      <c r="N24" s="7">
        <f t="shared" si="4"/>
        <v>6.7668343864744337E-2</v>
      </c>
    </row>
    <row r="25" spans="1:14" x14ac:dyDescent="0.25">
      <c r="E25" s="7"/>
      <c r="K25">
        <v>308</v>
      </c>
      <c r="L25" s="7">
        <f t="shared" si="4"/>
        <v>1.9964181199119968E-2</v>
      </c>
      <c r="M25" s="7">
        <f t="shared" si="4"/>
        <v>3.8788005933369772E-3</v>
      </c>
      <c r="N25" s="7">
        <f t="shared" si="4"/>
        <v>6.9642087248000639E-2</v>
      </c>
    </row>
  </sheetData>
  <mergeCells count="3">
    <mergeCell ref="K11:N11"/>
    <mergeCell ref="A1:M1"/>
    <mergeCell ref="C2:D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D85E7-7412-490F-A0BD-140D8B4DF9A0}">
  <dimension ref="A1:O25"/>
  <sheetViews>
    <sheetView workbookViewId="0">
      <selection activeCell="B18" sqref="B18"/>
    </sheetView>
  </sheetViews>
  <sheetFormatPr defaultRowHeight="15" x14ac:dyDescent="0.25"/>
  <sheetData>
    <row r="1" spans="1:15" ht="21" x14ac:dyDescent="0.35">
      <c r="A1" s="10" t="s">
        <v>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3" spans="1:15" ht="45" x14ac:dyDescent="0.25">
      <c r="A3" t="s">
        <v>9</v>
      </c>
      <c r="B3" t="s">
        <v>8</v>
      </c>
      <c r="C3" t="s">
        <v>10</v>
      </c>
      <c r="D3" s="2" t="s">
        <v>14</v>
      </c>
      <c r="E3" s="2" t="s">
        <v>36</v>
      </c>
      <c r="F3" s="2" t="s">
        <v>37</v>
      </c>
      <c r="G3" s="2" t="s">
        <v>13</v>
      </c>
      <c r="H3" s="2" t="s">
        <v>15</v>
      </c>
      <c r="K3" t="s">
        <v>0</v>
      </c>
      <c r="L3" s="2" t="s">
        <v>20</v>
      </c>
      <c r="M3" s="2" t="s">
        <v>21</v>
      </c>
      <c r="N3" s="2" t="s">
        <v>22</v>
      </c>
      <c r="O3" s="2" t="s">
        <v>19</v>
      </c>
    </row>
    <row r="4" spans="1:15" x14ac:dyDescent="0.25">
      <c r="A4">
        <v>0</v>
      </c>
      <c r="B4">
        <v>2.2799999999999998</v>
      </c>
      <c r="C4">
        <v>-0.65</v>
      </c>
      <c r="D4">
        <f>C4/30.97</f>
        <v>-2.0988052954472071E-2</v>
      </c>
      <c r="E4" s="7">
        <f t="shared" ref="E4:E16" si="0">D4/$O$4</f>
        <v>-2.1532439624553225E-3</v>
      </c>
      <c r="F4">
        <f>E4/$N$14</f>
        <v>-5.2414054932192441E-4</v>
      </c>
      <c r="G4">
        <v>0</v>
      </c>
      <c r="H4">
        <v>9.3433190055204826E-2</v>
      </c>
      <c r="K4">
        <v>39</v>
      </c>
      <c r="L4">
        <v>0.15145487829590948</v>
      </c>
      <c r="M4">
        <v>9.63437028655348E-2</v>
      </c>
      <c r="N4">
        <v>0.41947623470522777</v>
      </c>
      <c r="O4" s="6">
        <v>9.7471783599196087</v>
      </c>
    </row>
    <row r="5" spans="1:15" x14ac:dyDescent="0.25">
      <c r="A5">
        <v>9</v>
      </c>
      <c r="B5">
        <v>4.45</v>
      </c>
      <c r="C5">
        <v>0.88</v>
      </c>
      <c r="D5">
        <f t="shared" ref="D5:D18" si="1">C5/30.97</f>
        <v>2.841459476913142E-2</v>
      </c>
      <c r="E5" s="7">
        <f t="shared" si="0"/>
        <v>2.9151610568625905E-3</v>
      </c>
      <c r="F5">
        <f t="shared" ref="F5:F18" si="2">E5/$N$14</f>
        <v>7.0960566677429776E-4</v>
      </c>
      <c r="G5">
        <v>0</v>
      </c>
      <c r="H5">
        <v>8.6342278309943747</v>
      </c>
      <c r="K5">
        <v>79</v>
      </c>
      <c r="L5">
        <v>0.19644031272454232</v>
      </c>
      <c r="M5">
        <v>0.35357723104106353</v>
      </c>
      <c r="N5">
        <v>0.42313974899759393</v>
      </c>
    </row>
    <row r="6" spans="1:15" x14ac:dyDescent="0.25">
      <c r="A6">
        <v>39</v>
      </c>
      <c r="B6">
        <v>23.04</v>
      </c>
      <c r="C6">
        <v>23.62</v>
      </c>
      <c r="D6">
        <f t="shared" si="1"/>
        <v>0.76267355505327739</v>
      </c>
      <c r="E6" s="7">
        <f t="shared" si="0"/>
        <v>7.8245572912607253E-2</v>
      </c>
      <c r="F6">
        <f t="shared" si="2"/>
        <v>1.9046461192282853E-2</v>
      </c>
      <c r="G6">
        <v>0</v>
      </c>
      <c r="H6">
        <v>8.467382848752937</v>
      </c>
      <c r="K6">
        <v>174</v>
      </c>
      <c r="L6">
        <v>0.24884867395927701</v>
      </c>
      <c r="M6">
        <v>0.66736492625382715</v>
      </c>
      <c r="N6">
        <v>0.44022063949843226</v>
      </c>
    </row>
    <row r="7" spans="1:15" x14ac:dyDescent="0.25">
      <c r="A7">
        <v>59</v>
      </c>
      <c r="B7">
        <v>27.75</v>
      </c>
      <c r="C7">
        <v>55.56</v>
      </c>
      <c r="D7">
        <f t="shared" si="1"/>
        <v>1.7939941879237973</v>
      </c>
      <c r="E7" s="7">
        <f t="shared" si="0"/>
        <v>0.18405266854464264</v>
      </c>
      <c r="F7">
        <f t="shared" si="2"/>
        <v>4.4801921415886341E-2</v>
      </c>
      <c r="G7">
        <v>0</v>
      </c>
      <c r="H7">
        <v>7.3828904641835962</v>
      </c>
      <c r="K7">
        <v>214</v>
      </c>
      <c r="L7">
        <v>0.16337253129138726</v>
      </c>
      <c r="M7">
        <v>0.39421061608266217</v>
      </c>
      <c r="N7">
        <v>0.46610462026998645</v>
      </c>
    </row>
    <row r="8" spans="1:15" x14ac:dyDescent="0.25">
      <c r="A8">
        <v>79</v>
      </c>
      <c r="B8">
        <v>33.69</v>
      </c>
      <c r="C8">
        <v>91</v>
      </c>
      <c r="D8">
        <f t="shared" si="1"/>
        <v>2.93832741362609</v>
      </c>
      <c r="E8" s="7">
        <f t="shared" si="0"/>
        <v>0.30145415474374515</v>
      </c>
      <c r="F8">
        <f t="shared" si="2"/>
        <v>7.3379676905069427E-2</v>
      </c>
      <c r="G8">
        <v>0</v>
      </c>
      <c r="H8">
        <v>6.8406442718989258</v>
      </c>
      <c r="K8">
        <v>254</v>
      </c>
      <c r="L8">
        <v>0.11016919360173495</v>
      </c>
      <c r="M8">
        <v>0.25817662752594811</v>
      </c>
      <c r="N8">
        <v>0.49688130068428793</v>
      </c>
    </row>
    <row r="9" spans="1:15" x14ac:dyDescent="0.25">
      <c r="A9">
        <v>99</v>
      </c>
      <c r="B9">
        <v>36.93</v>
      </c>
      <c r="C9">
        <v>121.15</v>
      </c>
      <c r="D9">
        <f t="shared" si="1"/>
        <v>3.9118501775912176</v>
      </c>
      <c r="E9" s="7">
        <f t="shared" si="0"/>
        <v>0.4013315477714805</v>
      </c>
      <c r="F9">
        <f t="shared" si="2"/>
        <v>9.769173469284792E-2</v>
      </c>
      <c r="G9">
        <v>0</v>
      </c>
      <c r="H9">
        <v>5.5058844139674274</v>
      </c>
      <c r="K9">
        <v>308</v>
      </c>
      <c r="L9">
        <v>0.10534509036603955</v>
      </c>
      <c r="M9">
        <v>0.15241708918855104</v>
      </c>
      <c r="N9">
        <v>0.51238390926329058</v>
      </c>
    </row>
    <row r="10" spans="1:15" x14ac:dyDescent="0.25">
      <c r="A10">
        <v>119</v>
      </c>
      <c r="B10">
        <v>39.24</v>
      </c>
      <c r="C10">
        <v>148.51</v>
      </c>
      <c r="D10">
        <f t="shared" si="1"/>
        <v>4.7952857604133028</v>
      </c>
      <c r="E10" s="7">
        <f t="shared" si="0"/>
        <v>0.49196655517575372</v>
      </c>
      <c r="F10">
        <f t="shared" si="2"/>
        <v>0.11975401996892153</v>
      </c>
      <c r="G10">
        <v>0</v>
      </c>
      <c r="H10">
        <v>6.4235318162953314</v>
      </c>
    </row>
    <row r="11" spans="1:15" x14ac:dyDescent="0.25">
      <c r="A11">
        <v>139</v>
      </c>
      <c r="B11">
        <v>43.4</v>
      </c>
      <c r="C11">
        <v>165.63</v>
      </c>
      <c r="D11">
        <f t="shared" si="1"/>
        <v>5.3480787859218601</v>
      </c>
      <c r="E11" s="7">
        <f t="shared" si="0"/>
        <v>0.54867968846380777</v>
      </c>
      <c r="F11">
        <f t="shared" si="2"/>
        <v>0.13355907566798514</v>
      </c>
      <c r="G11">
        <v>0</v>
      </c>
      <c r="H11">
        <v>5.2973281861656307</v>
      </c>
      <c r="K11" s="9" t="s">
        <v>23</v>
      </c>
      <c r="L11" s="9"/>
      <c r="M11" s="9"/>
      <c r="N11" s="9"/>
    </row>
    <row r="12" spans="1:15" x14ac:dyDescent="0.25">
      <c r="A12">
        <v>174</v>
      </c>
      <c r="B12">
        <v>46.9</v>
      </c>
      <c r="C12">
        <v>189.33</v>
      </c>
      <c r="D12">
        <f t="shared" si="1"/>
        <v>6.11333548595415</v>
      </c>
      <c r="E12" s="7">
        <f t="shared" si="0"/>
        <v>0.62719027601794808</v>
      </c>
      <c r="F12">
        <f t="shared" si="2"/>
        <v>0.15267004646633842</v>
      </c>
      <c r="L12" t="s">
        <v>24</v>
      </c>
      <c r="M12" t="s">
        <v>25</v>
      </c>
      <c r="N12" t="s">
        <v>26</v>
      </c>
    </row>
    <row r="13" spans="1:15" x14ac:dyDescent="0.25">
      <c r="A13">
        <v>194</v>
      </c>
      <c r="B13">
        <v>59.92</v>
      </c>
      <c r="C13">
        <v>160.91</v>
      </c>
      <c r="D13">
        <f t="shared" si="1"/>
        <v>5.1956732321601553</v>
      </c>
      <c r="E13" s="7">
        <f t="shared" si="0"/>
        <v>0.53304382461336297</v>
      </c>
      <c r="F13">
        <f t="shared" si="2"/>
        <v>0.1297530089098321</v>
      </c>
      <c r="K13" t="s">
        <v>7</v>
      </c>
      <c r="L13">
        <f>G5-G11</f>
        <v>0</v>
      </c>
      <c r="M13">
        <f>L13*8</f>
        <v>0</v>
      </c>
      <c r="N13" s="7">
        <f>M13/O4</f>
        <v>0</v>
      </c>
    </row>
    <row r="14" spans="1:15" x14ac:dyDescent="0.25">
      <c r="A14">
        <v>214</v>
      </c>
      <c r="B14">
        <v>65.63</v>
      </c>
      <c r="C14">
        <v>102.18</v>
      </c>
      <c r="D14">
        <f t="shared" si="1"/>
        <v>3.2993219244430096</v>
      </c>
      <c r="E14" s="7">
        <f t="shared" si="0"/>
        <v>0.33848995089797673</v>
      </c>
      <c r="F14">
        <f t="shared" si="2"/>
        <v>8.2394894353406536E-2</v>
      </c>
      <c r="K14" t="s">
        <v>4</v>
      </c>
      <c r="L14">
        <f>H5-H11</f>
        <v>3.336899644828744</v>
      </c>
      <c r="M14">
        <f>L14*12</f>
        <v>40.042795737944928</v>
      </c>
      <c r="N14" s="7">
        <f>M14/O4</f>
        <v>4.1081423012223599</v>
      </c>
    </row>
    <row r="15" spans="1:15" x14ac:dyDescent="0.25">
      <c r="A15">
        <v>234</v>
      </c>
      <c r="B15">
        <v>72.77</v>
      </c>
      <c r="C15">
        <v>65.25</v>
      </c>
      <c r="D15">
        <f t="shared" si="1"/>
        <v>2.1068776235066196</v>
      </c>
      <c r="E15" s="7">
        <f t="shared" si="0"/>
        <v>0.21615256700032279</v>
      </c>
      <c r="F15">
        <f t="shared" si="2"/>
        <v>5.2615647451162421E-2</v>
      </c>
    </row>
    <row r="16" spans="1:15" x14ac:dyDescent="0.25">
      <c r="A16">
        <v>254</v>
      </c>
      <c r="B16">
        <v>79.209999999999994</v>
      </c>
      <c r="C16">
        <v>33.229999999999997</v>
      </c>
      <c r="D16">
        <f t="shared" si="1"/>
        <v>1.0729738456570874</v>
      </c>
      <c r="E16" s="7">
        <f t="shared" si="0"/>
        <v>0.1100804567267544</v>
      </c>
      <c r="F16">
        <f t="shared" si="2"/>
        <v>2.6795677621488535E-2</v>
      </c>
    </row>
    <row r="17" spans="1:14" x14ac:dyDescent="0.25">
      <c r="A17">
        <v>274</v>
      </c>
      <c r="B17">
        <v>88.09</v>
      </c>
      <c r="C17">
        <v>22.45</v>
      </c>
      <c r="D17">
        <f t="shared" si="1"/>
        <v>0.72489505973522761</v>
      </c>
      <c r="E17" s="7">
        <f t="shared" ref="E17:E18" si="3">D17/$O$4</f>
        <v>7.4369733780187672E-2</v>
      </c>
      <c r="F17">
        <f t="shared" si="2"/>
        <v>1.8103008203503388E-2</v>
      </c>
    </row>
    <row r="18" spans="1:14" x14ac:dyDescent="0.25">
      <c r="A18">
        <v>308</v>
      </c>
      <c r="B18">
        <v>102.28</v>
      </c>
      <c r="C18">
        <v>10.64</v>
      </c>
      <c r="D18">
        <f t="shared" si="1"/>
        <v>0.34355828220858897</v>
      </c>
      <c r="E18" s="7">
        <f t="shared" si="3"/>
        <v>3.5246947323884052E-2</v>
      </c>
      <c r="F18">
        <f t="shared" si="2"/>
        <v>8.5797776073619648E-3</v>
      </c>
    </row>
    <row r="19" spans="1:14" ht="45" x14ac:dyDescent="0.25">
      <c r="K19" t="s">
        <v>0</v>
      </c>
      <c r="L19" s="2" t="s">
        <v>33</v>
      </c>
      <c r="M19" s="2" t="s">
        <v>34</v>
      </c>
      <c r="N19" s="2" t="s">
        <v>35</v>
      </c>
    </row>
    <row r="20" spans="1:14" x14ac:dyDescent="0.25">
      <c r="K20">
        <v>39</v>
      </c>
      <c r="L20" s="7">
        <f>L4/$N$14</f>
        <v>3.6866999045005025E-2</v>
      </c>
      <c r="M20" s="7">
        <f t="shared" ref="M20:N20" si="4">M4/$N$14</f>
        <v>2.3451890368273793E-2</v>
      </c>
      <c r="N20" s="7">
        <f t="shared" si="4"/>
        <v>0.10210849672379033</v>
      </c>
    </row>
    <row r="21" spans="1:14" x14ac:dyDescent="0.25">
      <c r="K21">
        <v>79</v>
      </c>
      <c r="L21" s="7">
        <f t="shared" ref="L21:N25" si="5">L5/$N$14</f>
        <v>4.7817309703729681E-2</v>
      </c>
      <c r="M21" s="7">
        <f t="shared" si="5"/>
        <v>8.6067425399518935E-2</v>
      </c>
      <c r="N21" s="7">
        <f t="shared" si="5"/>
        <v>0.10300026580668604</v>
      </c>
    </row>
    <row r="22" spans="1:14" x14ac:dyDescent="0.25">
      <c r="K22">
        <v>174</v>
      </c>
      <c r="L22" s="7">
        <f t="shared" si="5"/>
        <v>6.0574501979941922E-2</v>
      </c>
      <c r="M22" s="7">
        <f t="shared" si="5"/>
        <v>0.16244932071979484</v>
      </c>
      <c r="N22" s="7">
        <f t="shared" si="5"/>
        <v>0.10715807954545453</v>
      </c>
    </row>
    <row r="23" spans="1:14" x14ac:dyDescent="0.25">
      <c r="K23">
        <v>214</v>
      </c>
      <c r="L23" s="7">
        <f t="shared" si="5"/>
        <v>3.9767982536236993E-2</v>
      </c>
      <c r="M23" s="7">
        <f t="shared" si="5"/>
        <v>9.595836443284024E-2</v>
      </c>
      <c r="N23" s="7">
        <f t="shared" si="5"/>
        <v>0.11345873294878296</v>
      </c>
    </row>
    <row r="24" spans="1:14" x14ac:dyDescent="0.25">
      <c r="K24">
        <v>254</v>
      </c>
      <c r="L24" s="7">
        <f t="shared" si="5"/>
        <v>2.6817277865217714E-2</v>
      </c>
      <c r="M24" s="7">
        <f t="shared" si="5"/>
        <v>6.2845103357088872E-2</v>
      </c>
      <c r="N24" s="7">
        <f t="shared" si="5"/>
        <v>0.1209503625364786</v>
      </c>
    </row>
    <row r="25" spans="1:14" x14ac:dyDescent="0.25">
      <c r="K25">
        <v>308</v>
      </c>
      <c r="L25" s="7">
        <f t="shared" si="5"/>
        <v>2.5642999351481708E-2</v>
      </c>
      <c r="M25" s="7">
        <f t="shared" si="5"/>
        <v>3.7101219483852838E-2</v>
      </c>
      <c r="N25" s="7">
        <f t="shared" si="5"/>
        <v>0.12472399242617106</v>
      </c>
    </row>
  </sheetData>
  <mergeCells count="2">
    <mergeCell ref="A1:M1"/>
    <mergeCell ref="K11:N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58958-414F-400E-9226-E386CA1A0F1B}">
  <dimension ref="A1:Q25"/>
  <sheetViews>
    <sheetView tabSelected="1" workbookViewId="0">
      <selection activeCell="L14" sqref="L14"/>
    </sheetView>
  </sheetViews>
  <sheetFormatPr defaultRowHeight="15" x14ac:dyDescent="0.25"/>
  <cols>
    <col min="6" max="6" width="12.7109375" bestFit="1" customWidth="1"/>
  </cols>
  <sheetData>
    <row r="1" spans="1:17" ht="21" x14ac:dyDescent="0.35">
      <c r="A1" s="10" t="s">
        <v>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3" spans="1:17" ht="45" x14ac:dyDescent="0.25">
      <c r="A3" t="s">
        <v>9</v>
      </c>
      <c r="B3" t="s">
        <v>8</v>
      </c>
      <c r="C3" t="s">
        <v>10</v>
      </c>
      <c r="D3" s="2" t="s">
        <v>14</v>
      </c>
      <c r="E3" s="2" t="s">
        <v>36</v>
      </c>
      <c r="F3" s="2" t="s">
        <v>37</v>
      </c>
      <c r="G3" s="2" t="s">
        <v>13</v>
      </c>
      <c r="H3" s="2" t="s">
        <v>15</v>
      </c>
      <c r="K3" t="s">
        <v>0</v>
      </c>
      <c r="L3" s="2" t="s">
        <v>20</v>
      </c>
      <c r="M3" s="2" t="s">
        <v>21</v>
      </c>
      <c r="N3" s="2" t="s">
        <v>22</v>
      </c>
      <c r="O3" s="2" t="s">
        <v>19</v>
      </c>
    </row>
    <row r="4" spans="1:17" x14ac:dyDescent="0.25">
      <c r="A4">
        <v>0</v>
      </c>
      <c r="B4">
        <v>2.79</v>
      </c>
      <c r="C4">
        <v>-0.11</v>
      </c>
      <c r="D4">
        <f>C4/30.97</f>
        <v>-3.5518243461414275E-3</v>
      </c>
      <c r="E4" s="7">
        <f t="shared" ref="E4:E13" si="0">D4/$O$4</f>
        <v>-3.6637507632086526E-4</v>
      </c>
      <c r="F4">
        <f>E4/$P$13</f>
        <v>-5.5857881963506971E-5</v>
      </c>
      <c r="G4">
        <v>0.27239999999999998</v>
      </c>
      <c r="H4">
        <v>5.6727293962088643E-2</v>
      </c>
      <c r="K4">
        <v>39</v>
      </c>
      <c r="L4">
        <v>0.1525018800197401</v>
      </c>
      <c r="M4">
        <v>0.19983379192899917</v>
      </c>
      <c r="N4">
        <v>0.48033894131173083</v>
      </c>
      <c r="O4" s="6">
        <v>9.6945031900335881</v>
      </c>
    </row>
    <row r="5" spans="1:17" x14ac:dyDescent="0.25">
      <c r="A5">
        <v>9</v>
      </c>
      <c r="B5">
        <v>2.2400000000000002</v>
      </c>
      <c r="C5">
        <v>0.27</v>
      </c>
      <c r="D5">
        <f t="shared" ref="D5:D18" si="1">C5/30.97</f>
        <v>8.7181143041653222E-3</v>
      </c>
      <c r="E5" s="7">
        <f t="shared" si="0"/>
        <v>8.9928427824212387E-4</v>
      </c>
      <c r="F5">
        <f t="shared" ref="F5:F18" si="2">E5/$P$13</f>
        <v>1.3710571027406257E-4</v>
      </c>
      <c r="G5">
        <v>3.8704000000000001</v>
      </c>
      <c r="H5">
        <v>6.4652430618556913</v>
      </c>
      <c r="K5">
        <v>79</v>
      </c>
      <c r="L5">
        <v>0.53634883925893717</v>
      </c>
      <c r="M5">
        <v>0.44231109957130688</v>
      </c>
      <c r="N5">
        <v>0.42745216546732445</v>
      </c>
    </row>
    <row r="6" spans="1:17" x14ac:dyDescent="0.25">
      <c r="A6">
        <v>39</v>
      </c>
      <c r="B6">
        <v>20</v>
      </c>
      <c r="C6">
        <v>24.6</v>
      </c>
      <c r="D6">
        <f t="shared" si="1"/>
        <v>0.79431708104617382</v>
      </c>
      <c r="E6" s="7">
        <f t="shared" si="0"/>
        <v>8.1934789795393509E-2</v>
      </c>
      <c r="F6">
        <f t="shared" si="2"/>
        <v>1.2491853602747923E-2</v>
      </c>
      <c r="G6">
        <v>0.35980000000000001</v>
      </c>
      <c r="H6">
        <v>5.839574378450302</v>
      </c>
      <c r="K6">
        <v>174</v>
      </c>
      <c r="L6">
        <v>0.58614392182203445</v>
      </c>
      <c r="M6">
        <v>1.0876741543372701</v>
      </c>
      <c r="N6">
        <v>0.45584426420247298</v>
      </c>
    </row>
    <row r="7" spans="1:17" x14ac:dyDescent="0.25">
      <c r="A7">
        <v>59</v>
      </c>
      <c r="B7">
        <v>24.72</v>
      </c>
      <c r="C7">
        <v>142.79</v>
      </c>
      <c r="D7">
        <f t="shared" si="1"/>
        <v>4.6105908944139493</v>
      </c>
      <c r="E7" s="7">
        <f t="shared" si="0"/>
        <v>0.47558815588960318</v>
      </c>
      <c r="F7">
        <f>E7/$P$13</f>
        <v>7.2508608777901454E-2</v>
      </c>
      <c r="G7">
        <v>0.33729999999999999</v>
      </c>
      <c r="H7">
        <v>5.3390394317259906</v>
      </c>
      <c r="K7">
        <v>214</v>
      </c>
      <c r="L7">
        <v>0.35727436547189523</v>
      </c>
      <c r="M7">
        <v>0.42948998385708409</v>
      </c>
      <c r="N7">
        <v>0.55125357637200945</v>
      </c>
    </row>
    <row r="8" spans="1:17" x14ac:dyDescent="0.25">
      <c r="A8">
        <v>79</v>
      </c>
      <c r="B8">
        <v>30.05</v>
      </c>
      <c r="C8">
        <v>172.89</v>
      </c>
      <c r="D8">
        <f t="shared" si="1"/>
        <v>5.5824991927671936</v>
      </c>
      <c r="E8" s="7">
        <f t="shared" si="0"/>
        <v>0.57584169950103981</v>
      </c>
      <c r="F8">
        <f>E8/$P$13</f>
        <v>8.7793356478824705E-2</v>
      </c>
      <c r="G8">
        <f>0.326</f>
        <v>0.32600000000000001</v>
      </c>
      <c r="H8">
        <v>4.6716595027602414</v>
      </c>
      <c r="K8">
        <v>254</v>
      </c>
      <c r="L8">
        <v>0.29053604961683027</v>
      </c>
      <c r="M8">
        <v>0.28425104259952061</v>
      </c>
      <c r="N8">
        <v>0.55750305320005267</v>
      </c>
    </row>
    <row r="9" spans="1:17" x14ac:dyDescent="0.25">
      <c r="A9">
        <v>99</v>
      </c>
      <c r="B9">
        <v>35.17</v>
      </c>
      <c r="C9">
        <v>190.86</v>
      </c>
      <c r="D9">
        <f t="shared" si="1"/>
        <v>6.1627381336777534</v>
      </c>
      <c r="E9" s="7">
        <f t="shared" si="0"/>
        <v>0.63569406424182129</v>
      </c>
      <c r="F9">
        <f>E9/$P$13</f>
        <v>9.6918503195953992E-2</v>
      </c>
      <c r="G9">
        <f>0.3256</f>
        <v>0.3256</v>
      </c>
      <c r="H9">
        <v>4.3379695382773678</v>
      </c>
      <c r="K9">
        <v>308</v>
      </c>
      <c r="L9">
        <v>0.22930806673572487</v>
      </c>
      <c r="M9">
        <v>0.18965890090767762</v>
      </c>
      <c r="N9">
        <v>0.57317379258722778</v>
      </c>
    </row>
    <row r="10" spans="1:17" x14ac:dyDescent="0.25">
      <c r="A10">
        <v>119</v>
      </c>
      <c r="B10">
        <v>37.94</v>
      </c>
      <c r="C10">
        <v>194.96</v>
      </c>
      <c r="D10">
        <f t="shared" si="1"/>
        <v>6.2951243138521153</v>
      </c>
      <c r="E10" s="7">
        <f t="shared" si="0"/>
        <v>0.64934986254105354</v>
      </c>
      <c r="F10">
        <f>E10/$P$13</f>
        <v>9.9000478796411981E-2</v>
      </c>
      <c r="G10">
        <f>0.3155</f>
        <v>0.3155</v>
      </c>
      <c r="H10">
        <v>4.079359815803139</v>
      </c>
    </row>
    <row r="11" spans="1:17" ht="28.5" customHeight="1" x14ac:dyDescent="0.25">
      <c r="A11">
        <v>139</v>
      </c>
      <c r="B11">
        <v>41.13</v>
      </c>
      <c r="C11">
        <v>196.64</v>
      </c>
      <c r="D11">
        <f t="shared" si="1"/>
        <v>6.3493703584113659</v>
      </c>
      <c r="E11" s="7">
        <f t="shared" si="0"/>
        <v>0.65494540916122668</v>
      </c>
      <c r="F11">
        <f>E11/$P$13</f>
        <v>9.9853580993672808E-2</v>
      </c>
      <c r="G11">
        <f>0.3205</f>
        <v>0.32050000000000001</v>
      </c>
      <c r="H11">
        <v>3.5329424989624325</v>
      </c>
      <c r="K11" s="9" t="s">
        <v>23</v>
      </c>
      <c r="L11" s="9"/>
      <c r="M11" s="9"/>
      <c r="N11" s="9"/>
      <c r="O11" s="8" t="s">
        <v>28</v>
      </c>
      <c r="P11" s="12" t="s">
        <v>30</v>
      </c>
      <c r="Q11" s="12"/>
    </row>
    <row r="12" spans="1:17" x14ac:dyDescent="0.25">
      <c r="A12">
        <v>174</v>
      </c>
      <c r="B12">
        <v>51.84</v>
      </c>
      <c r="C12">
        <v>219.61</v>
      </c>
      <c r="D12">
        <f t="shared" si="1"/>
        <v>7.0910558605101714</v>
      </c>
      <c r="E12" s="7">
        <f t="shared" si="0"/>
        <v>0.73145118646204743</v>
      </c>
      <c r="F12">
        <f t="shared" si="2"/>
        <v>0.11151772234550696</v>
      </c>
      <c r="L12" t="s">
        <v>24</v>
      </c>
      <c r="M12" t="s">
        <v>25</v>
      </c>
      <c r="N12" t="s">
        <v>26</v>
      </c>
      <c r="O12" s="8" t="s">
        <v>29</v>
      </c>
      <c r="P12" t="s">
        <v>31</v>
      </c>
      <c r="Q12" s="8" t="s">
        <v>32</v>
      </c>
    </row>
    <row r="13" spans="1:17" x14ac:dyDescent="0.25">
      <c r="A13">
        <v>194</v>
      </c>
      <c r="B13">
        <v>63.9</v>
      </c>
      <c r="C13">
        <v>175.7</v>
      </c>
      <c r="D13">
        <f t="shared" si="1"/>
        <v>5.6732321601549884</v>
      </c>
      <c r="E13" s="7">
        <f t="shared" si="0"/>
        <v>0.58520091735978197</v>
      </c>
      <c r="F13">
        <f t="shared" si="2"/>
        <v>8.9220271463528844E-2</v>
      </c>
      <c r="K13" t="s">
        <v>7</v>
      </c>
      <c r="L13">
        <f>G5-G11</f>
        <v>3.5499000000000001</v>
      </c>
      <c r="M13">
        <f>L13*8</f>
        <v>28.3992</v>
      </c>
      <c r="N13" s="7">
        <f>M13/O4</f>
        <v>2.929412621081577</v>
      </c>
      <c r="O13">
        <f>N13/N14</f>
        <v>0.80707961180654342</v>
      </c>
      <c r="P13" s="7">
        <f>SUM(N13:N14)</f>
        <v>6.5590577988657923</v>
      </c>
      <c r="Q13">
        <f>N13/P13*100</f>
        <v>44.662094936686451</v>
      </c>
    </row>
    <row r="14" spans="1:17" x14ac:dyDescent="0.25">
      <c r="A14">
        <v>214</v>
      </c>
      <c r="B14">
        <v>58.31</v>
      </c>
      <c r="C14">
        <v>108.64</v>
      </c>
      <c r="D14">
        <f t="shared" si="1"/>
        <v>3.5079108814982241</v>
      </c>
      <c r="E14" s="7">
        <f t="shared" ref="E14:E18" si="3">D14/$O$4</f>
        <v>0.3618453481045345</v>
      </c>
      <c r="F14">
        <f t="shared" si="2"/>
        <v>5.5167275422867236E-2</v>
      </c>
      <c r="K14" t="s">
        <v>4</v>
      </c>
      <c r="L14">
        <f>H5-H11</f>
        <v>2.9323005628932588</v>
      </c>
      <c r="M14">
        <f>L14*12</f>
        <v>35.187606754719106</v>
      </c>
      <c r="N14" s="7">
        <f>M14/O4</f>
        <v>3.6296451777842154</v>
      </c>
      <c r="P14" s="7">
        <f>SUM(N13:N14)</f>
        <v>6.5590577988657923</v>
      </c>
      <c r="Q14">
        <f>N14/P14*100</f>
        <v>55.337905063313542</v>
      </c>
    </row>
    <row r="15" spans="1:17" x14ac:dyDescent="0.25">
      <c r="A15">
        <v>234</v>
      </c>
      <c r="B15">
        <v>58.84</v>
      </c>
      <c r="C15">
        <v>47.82</v>
      </c>
      <c r="D15">
        <f t="shared" si="1"/>
        <v>1.5440749112043914</v>
      </c>
      <c r="E15" s="7">
        <f t="shared" si="3"/>
        <v>0.15927323772421614</v>
      </c>
      <c r="F15">
        <f t="shared" si="2"/>
        <v>2.4282944686317302E-2</v>
      </c>
    </row>
    <row r="16" spans="1:17" x14ac:dyDescent="0.25">
      <c r="A16">
        <v>254</v>
      </c>
      <c r="B16">
        <v>61.52</v>
      </c>
      <c r="C16">
        <v>-2.89</v>
      </c>
      <c r="D16">
        <f t="shared" si="1"/>
        <v>-9.3316112366806592E-2</v>
      </c>
      <c r="E16" s="7">
        <f t="shared" si="3"/>
        <v>-9.6256724597027325E-3</v>
      </c>
      <c r="F16">
        <f t="shared" si="2"/>
        <v>-1.4675388988594103E-3</v>
      </c>
    </row>
    <row r="17" spans="1:14" x14ac:dyDescent="0.25">
      <c r="A17">
        <v>274</v>
      </c>
      <c r="B17">
        <v>59.35</v>
      </c>
      <c r="C17">
        <v>7.03</v>
      </c>
      <c r="D17">
        <f t="shared" si="1"/>
        <v>0.22699386503067487</v>
      </c>
      <c r="E17" s="7">
        <f t="shared" si="3"/>
        <v>2.3414698059415297E-2</v>
      </c>
      <c r="F17">
        <f t="shared" si="2"/>
        <v>3.5698264563950362E-3</v>
      </c>
    </row>
    <row r="18" spans="1:14" x14ac:dyDescent="0.25">
      <c r="A18">
        <v>308</v>
      </c>
      <c r="B18">
        <v>59.37</v>
      </c>
      <c r="C18">
        <v>-4.99</v>
      </c>
      <c r="D18">
        <f t="shared" si="1"/>
        <v>-0.16112366806587022</v>
      </c>
      <c r="E18" s="7">
        <f t="shared" si="3"/>
        <v>-1.6620105734919254E-2</v>
      </c>
      <c r="F18">
        <f t="shared" si="2"/>
        <v>-2.5339166454354527E-3</v>
      </c>
    </row>
    <row r="19" spans="1:14" ht="45" x14ac:dyDescent="0.25">
      <c r="K19" t="s">
        <v>0</v>
      </c>
      <c r="L19" s="2" t="s">
        <v>33</v>
      </c>
      <c r="M19" s="2" t="s">
        <v>34</v>
      </c>
      <c r="N19" s="2" t="s">
        <v>35</v>
      </c>
    </row>
    <row r="20" spans="1:14" x14ac:dyDescent="0.25">
      <c r="K20">
        <v>39</v>
      </c>
      <c r="L20" s="7">
        <f>L4/$P$13</f>
        <v>2.3250577246950177E-2</v>
      </c>
      <c r="M20" s="7">
        <f t="shared" ref="M20:N20" si="4">M4/$P$13</f>
        <v>3.0466844180509416E-2</v>
      </c>
      <c r="N20" s="7">
        <f t="shared" si="4"/>
        <v>7.3232917903969713E-2</v>
      </c>
    </row>
    <row r="21" spans="1:14" x14ac:dyDescent="0.25">
      <c r="K21">
        <v>79</v>
      </c>
      <c r="L21" s="7">
        <f t="shared" ref="L21:N25" si="5">L5/$P$13</f>
        <v>8.1772238590683541E-2</v>
      </c>
      <c r="M21" s="7">
        <f t="shared" si="5"/>
        <v>6.7435158087460728E-2</v>
      </c>
      <c r="N21" s="7">
        <f t="shared" si="5"/>
        <v>6.5169751292821432E-2</v>
      </c>
    </row>
    <row r="22" spans="1:14" x14ac:dyDescent="0.25">
      <c r="K22">
        <v>174</v>
      </c>
      <c r="L22" s="7">
        <f t="shared" si="5"/>
        <v>8.9364042793370693E-2</v>
      </c>
      <c r="M22" s="7">
        <f t="shared" si="5"/>
        <v>0.1658278044943213</v>
      </c>
      <c r="N22" s="7">
        <f t="shared" si="5"/>
        <v>6.9498436845807129E-2</v>
      </c>
    </row>
    <row r="23" spans="1:14" x14ac:dyDescent="0.25">
      <c r="K23">
        <v>214</v>
      </c>
      <c r="L23" s="7">
        <f t="shared" si="5"/>
        <v>5.4470379195877182E-2</v>
      </c>
      <c r="M23" s="7">
        <f t="shared" si="5"/>
        <v>6.5480438963558527E-2</v>
      </c>
      <c r="N23" s="7">
        <f t="shared" si="5"/>
        <v>8.4044628554322778E-2</v>
      </c>
    </row>
    <row r="24" spans="1:14" x14ac:dyDescent="0.25">
      <c r="K24">
        <v>254</v>
      </c>
      <c r="L24" s="7">
        <f t="shared" si="5"/>
        <v>4.4295394022457073E-2</v>
      </c>
      <c r="M24" s="7">
        <f t="shared" si="5"/>
        <v>4.3337176057310238E-2</v>
      </c>
      <c r="N24" s="7">
        <f t="shared" si="5"/>
        <v>8.4997429554052317E-2</v>
      </c>
    </row>
    <row r="25" spans="1:14" x14ac:dyDescent="0.25">
      <c r="K25">
        <v>308</v>
      </c>
      <c r="L25" s="7">
        <f t="shared" si="5"/>
        <v>3.4960519295222155E-2</v>
      </c>
      <c r="M25" s="7">
        <f t="shared" si="5"/>
        <v>2.8915570913321403E-2</v>
      </c>
      <c r="N25" s="7">
        <f t="shared" si="5"/>
        <v>8.738660493071769E-2</v>
      </c>
    </row>
  </sheetData>
  <mergeCells count="3">
    <mergeCell ref="A1:M1"/>
    <mergeCell ref="K11:N11"/>
    <mergeCell ref="P11:Q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B03D6-761A-4E05-AE3B-BFCE32E44D84}">
  <dimension ref="A1:S24"/>
  <sheetViews>
    <sheetView workbookViewId="0">
      <selection sqref="A1:M1"/>
    </sheetView>
  </sheetViews>
  <sheetFormatPr defaultRowHeight="15" x14ac:dyDescent="0.25"/>
  <sheetData>
    <row r="1" spans="1:15" ht="21" x14ac:dyDescent="0.35">
      <c r="A1" s="10" t="s">
        <v>11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3" spans="1:15" ht="45" x14ac:dyDescent="0.25">
      <c r="A3" t="s">
        <v>9</v>
      </c>
      <c r="B3" t="s">
        <v>8</v>
      </c>
      <c r="C3" t="s">
        <v>10</v>
      </c>
      <c r="D3" s="2" t="s">
        <v>14</v>
      </c>
      <c r="E3" s="2"/>
      <c r="F3" s="2"/>
      <c r="G3" s="2" t="s">
        <v>13</v>
      </c>
      <c r="H3" s="2" t="s">
        <v>15</v>
      </c>
      <c r="K3" t="s">
        <v>0</v>
      </c>
      <c r="L3" s="2" t="s">
        <v>20</v>
      </c>
      <c r="M3" s="2" t="s">
        <v>21</v>
      </c>
      <c r="N3" s="2" t="s">
        <v>22</v>
      </c>
      <c r="O3" s="2" t="s">
        <v>19</v>
      </c>
    </row>
    <row r="4" spans="1:15" x14ac:dyDescent="0.25">
      <c r="A4">
        <v>0</v>
      </c>
      <c r="C4">
        <v>3.21</v>
      </c>
      <c r="D4">
        <f>C4/30.97</f>
        <v>0.10364869228285438</v>
      </c>
      <c r="G4">
        <v>0.26240000000000002</v>
      </c>
      <c r="H4">
        <v>0.76863622267765308</v>
      </c>
      <c r="K4">
        <v>10</v>
      </c>
      <c r="L4">
        <v>0.10436653412665253</v>
      </c>
      <c r="M4">
        <v>9.3628187693494361E-2</v>
      </c>
      <c r="N4">
        <v>0.44658380559107141</v>
      </c>
      <c r="O4" s="6">
        <v>11.912136927624461</v>
      </c>
    </row>
    <row r="5" spans="1:15" x14ac:dyDescent="0.25">
      <c r="A5">
        <v>10</v>
      </c>
      <c r="C5">
        <v>9.92</v>
      </c>
      <c r="D5">
        <f t="shared" ref="D5:D21" si="0">C5/30.97</f>
        <v>0.32030997739748146</v>
      </c>
      <c r="G5">
        <v>0.22559999999999999</v>
      </c>
      <c r="K5">
        <v>20</v>
      </c>
      <c r="L5">
        <v>0.13217026508450097</v>
      </c>
      <c r="M5">
        <v>0.14372096584223223</v>
      </c>
      <c r="N5">
        <v>0.44510795258168728</v>
      </c>
    </row>
    <row r="6" spans="1:15" x14ac:dyDescent="0.25">
      <c r="A6">
        <v>15</v>
      </c>
      <c r="C6">
        <v>30.05</v>
      </c>
      <c r="D6">
        <f t="shared" si="0"/>
        <v>0.97029383274136272</v>
      </c>
      <c r="G6" s="3">
        <v>0.25519999999999998</v>
      </c>
      <c r="H6">
        <v>5.5591475979159402</v>
      </c>
      <c r="K6">
        <v>30</v>
      </c>
      <c r="L6">
        <v>0.14736447298971986</v>
      </c>
      <c r="M6">
        <v>0.19336180095093791</v>
      </c>
      <c r="N6">
        <v>0.46211853595660557</v>
      </c>
    </row>
    <row r="7" spans="1:15" x14ac:dyDescent="0.25">
      <c r="A7">
        <v>20</v>
      </c>
      <c r="C7">
        <v>50.06</v>
      </c>
      <c r="D7">
        <f t="shared" si="0"/>
        <v>1.616402970616726</v>
      </c>
      <c r="G7" s="3">
        <v>0.24890000000000001</v>
      </c>
      <c r="K7">
        <v>40</v>
      </c>
      <c r="L7">
        <v>0.18286886910890801</v>
      </c>
      <c r="M7">
        <v>0.21339182024767073</v>
      </c>
      <c r="N7">
        <v>0.46977230181015872</v>
      </c>
    </row>
    <row r="8" spans="1:15" x14ac:dyDescent="0.25">
      <c r="A8">
        <v>25</v>
      </c>
      <c r="C8">
        <v>63.03</v>
      </c>
      <c r="D8">
        <f t="shared" si="0"/>
        <v>2.0351953503390381</v>
      </c>
      <c r="G8" s="3">
        <v>0.25409999999999999</v>
      </c>
      <c r="H8">
        <v>4.3272137002053439</v>
      </c>
      <c r="K8">
        <v>55</v>
      </c>
      <c r="L8">
        <v>0.1853732222144221</v>
      </c>
      <c r="M8">
        <v>0.28718759998529814</v>
      </c>
      <c r="N8">
        <v>0.45125326023867063</v>
      </c>
    </row>
    <row r="9" spans="1:15" x14ac:dyDescent="0.25">
      <c r="A9">
        <v>30</v>
      </c>
      <c r="C9">
        <v>74.41</v>
      </c>
      <c r="D9">
        <f t="shared" si="0"/>
        <v>2.4026477236034873</v>
      </c>
      <c r="G9" s="3">
        <v>0.2712</v>
      </c>
      <c r="K9">
        <v>70</v>
      </c>
      <c r="L9">
        <v>0.18457616015158188</v>
      </c>
      <c r="M9">
        <v>0.29864359987550709</v>
      </c>
      <c r="N9">
        <v>0.44137704408501699</v>
      </c>
    </row>
    <row r="10" spans="1:15" x14ac:dyDescent="0.25">
      <c r="A10">
        <v>35</v>
      </c>
      <c r="C10">
        <v>81.239999999999995</v>
      </c>
      <c r="D10">
        <f t="shared" si="0"/>
        <v>2.6231837261866322</v>
      </c>
      <c r="G10" s="3">
        <v>0.26190000000000002</v>
      </c>
      <c r="H10">
        <v>3.2841122429664198</v>
      </c>
      <c r="K10">
        <v>85</v>
      </c>
      <c r="L10">
        <v>0.18528880744591028</v>
      </c>
      <c r="M10">
        <v>0.36487787372008329</v>
      </c>
      <c r="N10">
        <v>0.45836614149547295</v>
      </c>
    </row>
    <row r="11" spans="1:15" x14ac:dyDescent="0.25">
      <c r="A11">
        <v>40</v>
      </c>
      <c r="C11">
        <v>87.03</v>
      </c>
      <c r="D11">
        <f t="shared" si="0"/>
        <v>2.8101388440426218</v>
      </c>
      <c r="G11" s="3">
        <v>0.26379999999999998</v>
      </c>
      <c r="K11">
        <v>100</v>
      </c>
      <c r="L11">
        <v>0.17841865461634512</v>
      </c>
      <c r="M11">
        <v>0.38657503568589363</v>
      </c>
      <c r="N11">
        <v>0.46404680203382326</v>
      </c>
    </row>
    <row r="12" spans="1:15" x14ac:dyDescent="0.25">
      <c r="A12">
        <v>45</v>
      </c>
      <c r="C12">
        <v>97.13</v>
      </c>
      <c r="D12">
        <f t="shared" si="0"/>
        <v>3.1362608976428801</v>
      </c>
      <c r="G12">
        <v>0.26690000000000003</v>
      </c>
      <c r="H12">
        <v>2.9308586502683904</v>
      </c>
      <c r="K12">
        <v>115</v>
      </c>
      <c r="L12">
        <v>0.22565728652212166</v>
      </c>
      <c r="M12">
        <v>0.44014608656466525</v>
      </c>
      <c r="N12">
        <v>0.45758426760293403</v>
      </c>
    </row>
    <row r="13" spans="1:15" x14ac:dyDescent="0.25">
      <c r="A13">
        <v>50</v>
      </c>
      <c r="C13">
        <v>103.91</v>
      </c>
      <c r="D13">
        <f t="shared" si="0"/>
        <v>3.3551824346141426</v>
      </c>
      <c r="G13">
        <v>0.26419999999999999</v>
      </c>
      <c r="K13">
        <v>130</v>
      </c>
      <c r="L13">
        <v>0.16890367872018947</v>
      </c>
      <c r="M13">
        <v>0.50292366330768279</v>
      </c>
    </row>
    <row r="14" spans="1:15" x14ac:dyDescent="0.25">
      <c r="A14">
        <v>55</v>
      </c>
      <c r="C14">
        <v>113.12</v>
      </c>
      <c r="D14">
        <f t="shared" si="0"/>
        <v>3.6525670003228936</v>
      </c>
      <c r="G14">
        <v>0.2707</v>
      </c>
    </row>
    <row r="15" spans="1:15" x14ac:dyDescent="0.25">
      <c r="A15">
        <v>60</v>
      </c>
      <c r="C15">
        <v>100.82</v>
      </c>
      <c r="D15">
        <f t="shared" si="0"/>
        <v>3.2554084597998063</v>
      </c>
      <c r="G15">
        <v>0.2208</v>
      </c>
      <c r="H15">
        <v>2.3567622927163403</v>
      </c>
    </row>
    <row r="16" spans="1:15" x14ac:dyDescent="0.25">
      <c r="A16">
        <v>65</v>
      </c>
      <c r="C16">
        <v>127.14</v>
      </c>
      <c r="D16">
        <f t="shared" si="0"/>
        <v>4.1052631578947372</v>
      </c>
      <c r="G16">
        <v>0.26579999999999998</v>
      </c>
    </row>
    <row r="17" spans="1:19" ht="32.25" customHeight="1" x14ac:dyDescent="0.25">
      <c r="A17">
        <v>70</v>
      </c>
      <c r="C17">
        <v>132.84</v>
      </c>
      <c r="D17">
        <f t="shared" si="0"/>
        <v>4.2893122376493382</v>
      </c>
      <c r="G17">
        <v>0.27239999999999998</v>
      </c>
      <c r="K17" s="9" t="s">
        <v>23</v>
      </c>
      <c r="L17" s="9"/>
      <c r="M17" s="9"/>
      <c r="N17" s="9"/>
      <c r="O17" s="8" t="s">
        <v>28</v>
      </c>
      <c r="P17" s="13" t="s">
        <v>30</v>
      </c>
      <c r="Q17" s="13"/>
      <c r="R17" s="12" t="s">
        <v>30</v>
      </c>
      <c r="S17" s="12"/>
    </row>
    <row r="18" spans="1:19" x14ac:dyDescent="0.25">
      <c r="A18">
        <v>85</v>
      </c>
      <c r="C18">
        <v>154.08000000000001</v>
      </c>
      <c r="D18">
        <f t="shared" si="0"/>
        <v>4.9751372295770109</v>
      </c>
      <c r="G18">
        <v>0.25940000000000002</v>
      </c>
      <c r="H18">
        <v>2.0091876938149311</v>
      </c>
      <c r="L18" t="s">
        <v>24</v>
      </c>
      <c r="M18" t="s">
        <v>25</v>
      </c>
      <c r="N18" t="s">
        <v>26</v>
      </c>
      <c r="O18" s="8" t="s">
        <v>29</v>
      </c>
      <c r="P18" t="s">
        <v>31</v>
      </c>
      <c r="Q18" s="8" t="s">
        <v>32</v>
      </c>
      <c r="R18" t="s">
        <v>31</v>
      </c>
      <c r="S18" s="8" t="s">
        <v>32</v>
      </c>
    </row>
    <row r="19" spans="1:19" x14ac:dyDescent="0.25">
      <c r="A19">
        <v>100</v>
      </c>
      <c r="C19">
        <v>157.4</v>
      </c>
      <c r="D19">
        <f t="shared" si="0"/>
        <v>5.0823377462060062</v>
      </c>
      <c r="G19">
        <v>0.27879999999999999</v>
      </c>
      <c r="K19" t="s">
        <v>7</v>
      </c>
      <c r="L19">
        <f>G24</f>
        <v>0.69997501469723722</v>
      </c>
      <c r="M19">
        <f>L19*8</f>
        <v>5.5998001175778978</v>
      </c>
      <c r="N19" s="7">
        <f>M19/O4</f>
        <v>0.47009198698781407</v>
      </c>
      <c r="P19" s="7">
        <f>SUM(N19:N20)</f>
        <v>3.1177670064572429</v>
      </c>
      <c r="Q19">
        <f>N19/P19*100</f>
        <v>15.077842122717996</v>
      </c>
      <c r="R19" s="7">
        <f>N19+N21</f>
        <v>4.6136653780155701</v>
      </c>
      <c r="S19">
        <f>N19/R19*100</f>
        <v>10.189121847194087</v>
      </c>
    </row>
    <row r="20" spans="1:19" x14ac:dyDescent="0.25">
      <c r="A20">
        <v>115</v>
      </c>
      <c r="C20">
        <v>172.74</v>
      </c>
      <c r="D20">
        <f t="shared" si="0"/>
        <v>5.5776557959315474</v>
      </c>
      <c r="G20">
        <v>0.25969999999999999</v>
      </c>
      <c r="H20">
        <v>1.4459131309506199</v>
      </c>
      <c r="K20" s="4" t="s">
        <v>5</v>
      </c>
      <c r="L20">
        <f>H6-H12</f>
        <v>2.6282889476475497</v>
      </c>
      <c r="M20">
        <f>L20*12</f>
        <v>31.539467371770598</v>
      </c>
      <c r="N20" s="7">
        <f>M20/O4</f>
        <v>2.6476750194694287</v>
      </c>
      <c r="O20" s="4">
        <f>N19/N20</f>
        <v>0.17754897543355469</v>
      </c>
      <c r="P20" s="7">
        <f>SUM(N19:N20)</f>
        <v>3.1177670064572429</v>
      </c>
      <c r="Q20">
        <f>N20/P20*100</f>
        <v>84.922157877282004</v>
      </c>
      <c r="R20" s="7">
        <f>N19+N21</f>
        <v>4.6136653780155701</v>
      </c>
      <c r="S20">
        <f>N21/R20*100</f>
        <v>89.810878152805913</v>
      </c>
    </row>
    <row r="21" spans="1:19" x14ac:dyDescent="0.25">
      <c r="A21">
        <v>130</v>
      </c>
      <c r="C21">
        <v>181.55</v>
      </c>
      <c r="D21">
        <f t="shared" si="0"/>
        <v>5.8621246367452375</v>
      </c>
      <c r="G21">
        <v>0.27089999999999997</v>
      </c>
      <c r="K21" t="s">
        <v>27</v>
      </c>
      <c r="L21">
        <f>H6-H20</f>
        <v>4.11323446696532</v>
      </c>
      <c r="M21">
        <f>L21*12</f>
        <v>49.35881360358384</v>
      </c>
      <c r="N21" s="7">
        <f>M21/O4</f>
        <v>4.1435733910277559</v>
      </c>
      <c r="O21" s="7">
        <f>N19/N21</f>
        <v>0.11345086538245537</v>
      </c>
    </row>
    <row r="23" spans="1:19" ht="30" x14ac:dyDescent="0.25">
      <c r="G23" s="5" t="s">
        <v>16</v>
      </c>
      <c r="H23" s="3" t="s">
        <v>18</v>
      </c>
    </row>
    <row r="24" spans="1:19" x14ac:dyDescent="0.25">
      <c r="G24" s="3">
        <v>0.69997501469723722</v>
      </c>
      <c r="H24" s="3" t="s">
        <v>17</v>
      </c>
    </row>
  </sheetData>
  <mergeCells count="4">
    <mergeCell ref="A1:M1"/>
    <mergeCell ref="K17:N17"/>
    <mergeCell ref="P17:Q17"/>
    <mergeCell ref="R17:S1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6DCA-C2D8-483E-AECC-0DC1E1623A7F}">
  <dimension ref="A1:D57"/>
  <sheetViews>
    <sheetView workbookViewId="0"/>
  </sheetViews>
  <sheetFormatPr defaultRowHeight="15" x14ac:dyDescent="0.25"/>
  <cols>
    <col min="2" max="2" width="11" bestFit="1" customWidth="1"/>
    <col min="4" max="4" width="12.7109375" bestFit="1" customWidth="1"/>
  </cols>
  <sheetData>
    <row r="1" spans="1:4" x14ac:dyDescent="0.25">
      <c r="A1" t="s">
        <v>38</v>
      </c>
    </row>
    <row r="2" spans="1:4" x14ac:dyDescent="0.25">
      <c r="A2" t="s">
        <v>0</v>
      </c>
      <c r="B2" t="s">
        <v>7</v>
      </c>
      <c r="C2" t="s">
        <v>4</v>
      </c>
      <c r="D2" t="s">
        <v>39</v>
      </c>
    </row>
    <row r="3" spans="1:4" x14ac:dyDescent="0.25">
      <c r="A3">
        <v>0</v>
      </c>
      <c r="B3">
        <f>Acetate!F4</f>
        <v>8.7051957936076075E-5</v>
      </c>
      <c r="C3">
        <f>Aspartate!F4</f>
        <v>-5.2414054932192441E-4</v>
      </c>
      <c r="D3">
        <f>Mix!F4</f>
        <v>-5.5857881963506971E-5</v>
      </c>
    </row>
    <row r="4" spans="1:4" x14ac:dyDescent="0.25">
      <c r="A4">
        <v>9</v>
      </c>
      <c r="B4">
        <f>Acetate!F5</f>
        <v>2.1382137168048684E-3</v>
      </c>
      <c r="C4">
        <f>Aspartate!F5</f>
        <v>7.0960566677429776E-4</v>
      </c>
      <c r="D4">
        <f>Mix!F5</f>
        <v>1.3710571027406257E-4</v>
      </c>
    </row>
    <row r="5" spans="1:4" x14ac:dyDescent="0.25">
      <c r="A5">
        <v>39</v>
      </c>
      <c r="B5">
        <f>Acetate!F6</f>
        <v>1.4200350638322409E-2</v>
      </c>
      <c r="C5">
        <f>Aspartate!F6</f>
        <v>1.9046461192282853E-2</v>
      </c>
      <c r="D5">
        <f>Mix!F6</f>
        <v>1.2491853602747923E-2</v>
      </c>
    </row>
    <row r="6" spans="1:4" x14ac:dyDescent="0.25">
      <c r="A6">
        <v>59</v>
      </c>
      <c r="B6">
        <f>Acetate!F7</f>
        <v>6.9157339832841433E-2</v>
      </c>
      <c r="C6">
        <f>Aspartate!F7</f>
        <v>4.4801921415886341E-2</v>
      </c>
      <c r="D6">
        <f>Mix!F7</f>
        <v>7.2508608777901454E-2</v>
      </c>
    </row>
    <row r="7" spans="1:4" x14ac:dyDescent="0.25">
      <c r="A7">
        <v>79</v>
      </c>
      <c r="B7">
        <f>Acetate!F8</f>
        <v>8.6605816651653691E-2</v>
      </c>
      <c r="C7">
        <f>Aspartate!F8</f>
        <v>7.3379676905069427E-2</v>
      </c>
      <c r="D7">
        <f>Mix!F8</f>
        <v>8.7793356478824705E-2</v>
      </c>
    </row>
    <row r="8" spans="1:4" x14ac:dyDescent="0.25">
      <c r="A8">
        <v>99</v>
      </c>
      <c r="B8">
        <f>Acetate!F9</f>
        <v>9.6823540214400622E-2</v>
      </c>
      <c r="C8">
        <f>Aspartate!F9</f>
        <v>9.769173469284792E-2</v>
      </c>
      <c r="D8">
        <f>Mix!F9</f>
        <v>9.6918503195953992E-2</v>
      </c>
    </row>
    <row r="9" spans="1:4" x14ac:dyDescent="0.25">
      <c r="A9">
        <v>119</v>
      </c>
      <c r="B9">
        <f>Acetate!F10</f>
        <v>0.1085701137883999</v>
      </c>
      <c r="C9">
        <f>Aspartate!F10</f>
        <v>0.11975401996892153</v>
      </c>
      <c r="D9">
        <f>Mix!F10</f>
        <v>9.9000478796411981E-2</v>
      </c>
    </row>
    <row r="10" spans="1:4" x14ac:dyDescent="0.25">
      <c r="A10">
        <v>139</v>
      </c>
      <c r="B10">
        <f>Acetate!F11</f>
        <v>9.8874701973269391E-2</v>
      </c>
      <c r="C10">
        <f>Aspartate!F11</f>
        <v>0.13355907566798514</v>
      </c>
      <c r="D10">
        <f>Mix!F11</f>
        <v>9.9853580993672808E-2</v>
      </c>
    </row>
    <row r="11" spans="1:4" x14ac:dyDescent="0.25">
      <c r="A11">
        <v>174</v>
      </c>
      <c r="B11">
        <f>Acetate!F12</f>
        <v>0.10275395484879579</v>
      </c>
      <c r="C11">
        <f>Aspartate!F12</f>
        <v>0.15267004646633842</v>
      </c>
      <c r="D11">
        <f>Mix!F12</f>
        <v>0.11151772234550696</v>
      </c>
    </row>
    <row r="12" spans="1:4" x14ac:dyDescent="0.25">
      <c r="A12">
        <v>194</v>
      </c>
      <c r="B12">
        <f>Acetate!F13</f>
        <v>7.9353300406104346E-2</v>
      </c>
      <c r="C12">
        <f>Aspartate!F13</f>
        <v>0.1297530089098321</v>
      </c>
      <c r="D12">
        <f>Mix!F13</f>
        <v>8.9220271463528844E-2</v>
      </c>
    </row>
    <row r="13" spans="1:4" x14ac:dyDescent="0.25">
      <c r="A13">
        <v>214</v>
      </c>
      <c r="B13">
        <f>Acetate!F14</f>
        <v>2.6567169412616217E-2</v>
      </c>
      <c r="C13">
        <f>Aspartate!F14</f>
        <v>8.2394894353406536E-2</v>
      </c>
      <c r="D13">
        <f>Mix!F14</f>
        <v>5.5167275422867236E-2</v>
      </c>
    </row>
    <row r="14" spans="1:4" x14ac:dyDescent="0.25">
      <c r="A14">
        <v>234</v>
      </c>
      <c r="B14">
        <f>Acetate!F15</f>
        <v>-1.7845651376895593E-3</v>
      </c>
      <c r="C14">
        <f>Aspartate!F15</f>
        <v>5.2615647451162421E-2</v>
      </c>
      <c r="D14">
        <f>Mix!F15</f>
        <v>2.4282944686317302E-2</v>
      </c>
    </row>
    <row r="15" spans="1:4" x14ac:dyDescent="0.25">
      <c r="A15">
        <v>254</v>
      </c>
      <c r="B15">
        <f>Acetate!F16</f>
        <v>-2.8074256434384532E-3</v>
      </c>
      <c r="C15">
        <f>Aspartate!F16</f>
        <v>2.6795677621488535E-2</v>
      </c>
      <c r="D15">
        <f>Mix!F16</f>
        <v>-1.4675388988594103E-3</v>
      </c>
    </row>
    <row r="16" spans="1:4" x14ac:dyDescent="0.25">
      <c r="A16">
        <v>274</v>
      </c>
      <c r="B16">
        <f>Acetate!F17</f>
        <v>-2.6061179907112776E-3</v>
      </c>
      <c r="C16">
        <f>Aspartate!F17</f>
        <v>1.8103008203503388E-2</v>
      </c>
      <c r="D16">
        <f>Mix!F17</f>
        <v>3.5698264563950362E-3</v>
      </c>
    </row>
    <row r="17" spans="1:4" x14ac:dyDescent="0.25">
      <c r="A17">
        <v>308</v>
      </c>
      <c r="B17">
        <f>Acetate!F18</f>
        <v>-2.7856626539544344E-3</v>
      </c>
      <c r="C17">
        <f>Aspartate!F18</f>
        <v>8.5797776073619648E-3</v>
      </c>
      <c r="D17">
        <f>Mix!F18</f>
        <v>-2.5339166454354527E-3</v>
      </c>
    </row>
    <row r="20" spans="1:4" x14ac:dyDescent="0.25">
      <c r="A20" t="s">
        <v>1</v>
      </c>
    </row>
    <row r="21" spans="1:4" x14ac:dyDescent="0.25">
      <c r="A21" t="s">
        <v>0</v>
      </c>
      <c r="B21" t="s">
        <v>7</v>
      </c>
      <c r="C21" t="s">
        <v>4</v>
      </c>
      <c r="D21" t="s">
        <v>39</v>
      </c>
    </row>
    <row r="22" spans="1:4" x14ac:dyDescent="0.25">
      <c r="A22">
        <f>Acetate!K20</f>
        <v>39</v>
      </c>
      <c r="B22" s="7">
        <f>Acetate!N20</f>
        <v>7.6963848889354911E-2</v>
      </c>
      <c r="C22" s="7">
        <f>Aspartate!N20</f>
        <v>0.10210849672379033</v>
      </c>
      <c r="D22" s="7">
        <f>Mix!N20</f>
        <v>7.3232917903969713E-2</v>
      </c>
    </row>
    <row r="23" spans="1:4" x14ac:dyDescent="0.25">
      <c r="A23">
        <f>Acetate!K21</f>
        <v>79</v>
      </c>
      <c r="B23" s="7">
        <f>Acetate!N21</f>
        <v>5.9138666789912323E-2</v>
      </c>
      <c r="C23" s="7">
        <f>Aspartate!N21</f>
        <v>0.10300026580668604</v>
      </c>
      <c r="D23" s="7">
        <f>Mix!N21</f>
        <v>6.5169751292821432E-2</v>
      </c>
    </row>
    <row r="24" spans="1:4" x14ac:dyDescent="0.25">
      <c r="A24">
        <f>Acetate!K22</f>
        <v>174</v>
      </c>
      <c r="B24" s="7">
        <f>Acetate!N22</f>
        <v>5.6007770922134818E-2</v>
      </c>
      <c r="C24" s="7">
        <f>Aspartate!N22</f>
        <v>0.10715807954545453</v>
      </c>
      <c r="D24" s="7">
        <f>Mix!N22</f>
        <v>6.9498436845807129E-2</v>
      </c>
    </row>
    <row r="25" spans="1:4" x14ac:dyDescent="0.25">
      <c r="A25">
        <f>Acetate!K23</f>
        <v>214</v>
      </c>
      <c r="B25" s="7">
        <f>Acetate!N23</f>
        <v>6.1933526692899372E-2</v>
      </c>
      <c r="C25" s="7">
        <f>Aspartate!N23</f>
        <v>0.11345873294878296</v>
      </c>
      <c r="D25" s="7">
        <f>Mix!N23</f>
        <v>8.4044628554322778E-2</v>
      </c>
    </row>
    <row r="26" spans="1:4" x14ac:dyDescent="0.25">
      <c r="A26">
        <f>Acetate!K24</f>
        <v>254</v>
      </c>
      <c r="B26" s="7">
        <f>Acetate!N24</f>
        <v>6.7668343864744337E-2</v>
      </c>
      <c r="C26" s="7">
        <f>Aspartate!N24</f>
        <v>0.1209503625364786</v>
      </c>
      <c r="D26" s="7">
        <f>Mix!N24</f>
        <v>8.4997429554052317E-2</v>
      </c>
    </row>
    <row r="27" spans="1:4" x14ac:dyDescent="0.25">
      <c r="A27">
        <f>Acetate!K25</f>
        <v>308</v>
      </c>
      <c r="B27" s="7">
        <f>Acetate!N25</f>
        <v>6.9642087248000639E-2</v>
      </c>
      <c r="C27" s="7">
        <f>Aspartate!N25</f>
        <v>0.12472399242617106</v>
      </c>
      <c r="D27" s="7">
        <f>Mix!N25</f>
        <v>8.738660493071769E-2</v>
      </c>
    </row>
    <row r="34" spans="1:4" x14ac:dyDescent="0.25">
      <c r="A34" t="s">
        <v>3</v>
      </c>
    </row>
    <row r="35" spans="1:4" x14ac:dyDescent="0.25">
      <c r="A35" t="s">
        <v>0</v>
      </c>
      <c r="B35" t="s">
        <v>7</v>
      </c>
      <c r="C35" t="s">
        <v>4</v>
      </c>
      <c r="D35" t="s">
        <v>39</v>
      </c>
    </row>
    <row r="36" spans="1:4" x14ac:dyDescent="0.25">
      <c r="A36">
        <f>Acetate!K20</f>
        <v>39</v>
      </c>
      <c r="B36" s="7">
        <f>Acetate!L20</f>
        <v>2.2771133987345385E-2</v>
      </c>
      <c r="C36" s="7">
        <f>Aspartate!L20</f>
        <v>3.6866999045005025E-2</v>
      </c>
      <c r="D36" s="7">
        <f>Mix!L20</f>
        <v>2.3250577246950177E-2</v>
      </c>
    </row>
    <row r="37" spans="1:4" x14ac:dyDescent="0.25">
      <c r="A37">
        <f>Acetate!K21</f>
        <v>79</v>
      </c>
      <c r="B37" s="7">
        <f>Acetate!L21</f>
        <v>0.16467648524534431</v>
      </c>
      <c r="C37" s="7">
        <f>Aspartate!L21</f>
        <v>4.7817309703729681E-2</v>
      </c>
      <c r="D37" s="7">
        <f>Mix!L21</f>
        <v>8.1772238590683541E-2</v>
      </c>
    </row>
    <row r="38" spans="1:4" x14ac:dyDescent="0.25">
      <c r="A38">
        <f>Acetate!K22</f>
        <v>174</v>
      </c>
      <c r="B38" s="7">
        <f>Acetate!L22</f>
        <v>0.17158085771006026</v>
      </c>
      <c r="C38" s="7">
        <f>Aspartate!L22</f>
        <v>6.0574501979941922E-2</v>
      </c>
      <c r="D38" s="7">
        <f>Mix!L22</f>
        <v>8.9364042793370693E-2</v>
      </c>
    </row>
    <row r="39" spans="1:4" x14ac:dyDescent="0.25">
      <c r="A39">
        <f>Acetate!K23</f>
        <v>214</v>
      </c>
      <c r="B39" s="7">
        <f>Acetate!L23</f>
        <v>8.20176891284463E-2</v>
      </c>
      <c r="C39" s="7">
        <f>Aspartate!L23</f>
        <v>3.9767982536236993E-2</v>
      </c>
      <c r="D39" s="7">
        <f>Mix!L23</f>
        <v>5.4470379195877182E-2</v>
      </c>
    </row>
    <row r="40" spans="1:4" x14ac:dyDescent="0.25">
      <c r="A40">
        <f>Acetate!K24</f>
        <v>254</v>
      </c>
      <c r="B40" s="7">
        <f>Acetate!L24</f>
        <v>4.0878616632274462E-2</v>
      </c>
      <c r="C40" s="7">
        <f>Aspartate!L24</f>
        <v>2.6817277865217714E-2</v>
      </c>
      <c r="D40" s="7">
        <f>Mix!L24</f>
        <v>4.4295394022457073E-2</v>
      </c>
    </row>
    <row r="41" spans="1:4" x14ac:dyDescent="0.25">
      <c r="A41">
        <f>Acetate!K25</f>
        <v>308</v>
      </c>
      <c r="B41" s="7">
        <f>Acetate!L25</f>
        <v>1.9964181199119968E-2</v>
      </c>
      <c r="C41" s="7">
        <f>Aspartate!L25</f>
        <v>2.5642999351481708E-2</v>
      </c>
      <c r="D41" s="7">
        <f>Mix!L25</f>
        <v>3.4960519295222155E-2</v>
      </c>
    </row>
    <row r="50" spans="1:4" x14ac:dyDescent="0.25">
      <c r="A50" t="s">
        <v>2</v>
      </c>
    </row>
    <row r="51" spans="1:4" x14ac:dyDescent="0.25">
      <c r="A51" t="s">
        <v>0</v>
      </c>
      <c r="B51" t="s">
        <v>7</v>
      </c>
      <c r="C51" t="s">
        <v>4</v>
      </c>
      <c r="D51" t="s">
        <v>39</v>
      </c>
    </row>
    <row r="52" spans="1:4" x14ac:dyDescent="0.25">
      <c r="A52">
        <f>Acetate!K20</f>
        <v>39</v>
      </c>
      <c r="B52" s="7">
        <f>Acetate!M20</f>
        <v>1.5568075638397849E-2</v>
      </c>
      <c r="C52" s="7">
        <f>Aspartate!M20</f>
        <v>2.3451890368273793E-2</v>
      </c>
      <c r="D52" s="7">
        <f>Mix!M20</f>
        <v>3.0466844180509416E-2</v>
      </c>
    </row>
    <row r="53" spans="1:4" x14ac:dyDescent="0.25">
      <c r="A53">
        <f>Acetate!K21</f>
        <v>79</v>
      </c>
      <c r="B53" s="7">
        <f>Acetate!M21</f>
        <v>7.7373360881133113E-2</v>
      </c>
      <c r="C53" s="7">
        <f>Aspartate!M21</f>
        <v>8.6067425399518935E-2</v>
      </c>
      <c r="D53" s="7">
        <f>Mix!M21</f>
        <v>6.7435158087460728E-2</v>
      </c>
    </row>
    <row r="54" spans="1:4" x14ac:dyDescent="0.25">
      <c r="A54">
        <f>Acetate!K22</f>
        <v>174</v>
      </c>
      <c r="B54" s="7">
        <f>Acetate!M22</f>
        <v>7.6543970196712552E-2</v>
      </c>
      <c r="C54" s="7">
        <f>Aspartate!M22</f>
        <v>0.16244932071979484</v>
      </c>
      <c r="D54" s="7">
        <f>Mix!M22</f>
        <v>0.1658278044943213</v>
      </c>
    </row>
    <row r="55" spans="1:4" x14ac:dyDescent="0.25">
      <c r="A55">
        <f>Acetate!K23</f>
        <v>214</v>
      </c>
      <c r="B55" s="7">
        <f>Acetate!M23</f>
        <v>2.5488856301424896E-2</v>
      </c>
      <c r="C55" s="7">
        <f>Aspartate!M23</f>
        <v>9.595836443284024E-2</v>
      </c>
      <c r="D55" s="7">
        <f>Mix!M23</f>
        <v>6.5480438963558527E-2</v>
      </c>
    </row>
    <row r="56" spans="1:4" x14ac:dyDescent="0.25">
      <c r="A56">
        <f>Acetate!K24</f>
        <v>254</v>
      </c>
      <c r="B56" s="7">
        <f>Acetate!M24</f>
        <v>7.6878994078687854E-3</v>
      </c>
      <c r="C56" s="7">
        <f>Aspartate!M24</f>
        <v>6.2845103357088872E-2</v>
      </c>
      <c r="D56" s="7">
        <f>Mix!M24</f>
        <v>4.3337176057310238E-2</v>
      </c>
    </row>
    <row r="57" spans="1:4" x14ac:dyDescent="0.25">
      <c r="A57">
        <f>Acetate!K25</f>
        <v>308</v>
      </c>
      <c r="B57" s="7">
        <f>Acetate!M25</f>
        <v>3.8788005933369772E-3</v>
      </c>
      <c r="C57" s="7">
        <f>Aspartate!M25</f>
        <v>3.7101219483852838E-2</v>
      </c>
      <c r="D57" s="7">
        <f>Mix!M25</f>
        <v>2.8915570913321403E-2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Acetate</vt:lpstr>
      <vt:lpstr>Aspartate</vt:lpstr>
      <vt:lpstr>Mix</vt:lpstr>
      <vt:lpstr>Slow feed</vt:lpstr>
      <vt:lpstr>All together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Timmy Páez Watson</dc:creator>
  <cp:lastModifiedBy>Timmy Páez Watson</cp:lastModifiedBy>
  <dcterms:created xsi:type="dcterms:W3CDTF">2024-08-20T17:26:13Z</dcterms:created>
  <dcterms:modified xsi:type="dcterms:W3CDTF">2024-09-09T07:49:00Z</dcterms:modified>
</cp:coreProperties>
</file>