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boris\Documents\Ausbildung\Industrial_Ecology\Thesis\Deliverables\Greenlight Report\"/>
    </mc:Choice>
  </mc:AlternateContent>
  <xr:revisionPtr revIDLastSave="0" documentId="13_ncr:1_{DFF871AB-8B17-4C02-86CE-29350D775EAB}" xr6:coauthVersionLast="47" xr6:coauthVersionMax="47" xr10:uidLastSave="{00000000-0000-0000-0000-000000000000}"/>
  <bookViews>
    <workbookView xWindow="28680" yWindow="-120" windowWidth="29040" windowHeight="15840" xr2:uid="{9FCFB0CA-F510-4F60-8857-34BF8E9A3B6E}"/>
  </bookViews>
  <sheets>
    <sheet name="Weight factor calculation guide" sheetId="5" r:id="rId1"/>
    <sheet name="Summary" sheetId="1" r:id="rId2"/>
    <sheet name="Dining table" sheetId="2" r:id="rId3"/>
    <sheet name="Chair" sheetId="3" r:id="rId4"/>
    <sheet name="(Double) bed" sheetId="4"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8" i="1" l="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4" i="1"/>
  <c r="V5" i="1"/>
  <c r="V6" i="1"/>
  <c r="V7" i="1"/>
  <c r="V3" i="1"/>
  <c r="S5" i="4" l="1"/>
  <c r="S4" i="4"/>
  <c r="R5" i="4"/>
  <c r="R4" i="4"/>
  <c r="R6" i="4" s="1"/>
  <c r="S6" i="4" l="1"/>
  <c r="K3" i="3"/>
  <c r="D23" i="1" s="1"/>
  <c r="J3" i="3"/>
  <c r="C23" i="1" s="1"/>
  <c r="H59" i="3"/>
  <c r="L10" i="3" s="1"/>
  <c r="G59" i="3"/>
  <c r="K10" i="3" s="1"/>
  <c r="H45" i="3"/>
  <c r="L9" i="3" s="1"/>
  <c r="G45" i="3"/>
  <c r="K9" i="3" s="1"/>
  <c r="H31" i="3"/>
  <c r="L8" i="3" s="1"/>
  <c r="G31" i="3"/>
  <c r="K8" i="3" s="1"/>
  <c r="H17" i="3"/>
  <c r="L7" i="3" s="1"/>
  <c r="G17" i="3"/>
  <c r="K7" i="3" s="1"/>
  <c r="H3" i="3"/>
  <c r="L6" i="3" s="1"/>
  <c r="G3" i="3"/>
  <c r="K6" i="3" s="1"/>
  <c r="H62" i="4"/>
  <c r="L62" i="4" s="1"/>
  <c r="F62" i="4"/>
  <c r="I62" i="4" s="1"/>
  <c r="M62" i="4" s="1"/>
  <c r="H61" i="4"/>
  <c r="L61" i="4" s="1"/>
  <c r="F61" i="4"/>
  <c r="I61" i="4" s="1"/>
  <c r="H60" i="4"/>
  <c r="L60" i="4" s="1"/>
  <c r="F60" i="4"/>
  <c r="I60" i="4" s="1"/>
  <c r="I59" i="4"/>
  <c r="H59" i="4"/>
  <c r="L59" i="4" s="1"/>
  <c r="I56" i="4"/>
  <c r="M56" i="4" s="1"/>
  <c r="H56" i="4"/>
  <c r="L56" i="4" s="1"/>
  <c r="I54" i="4"/>
  <c r="H54" i="4"/>
  <c r="L54" i="4" s="1"/>
  <c r="I53" i="4"/>
  <c r="M53" i="4" s="1"/>
  <c r="H53" i="4"/>
  <c r="L53" i="4" s="1"/>
  <c r="H58" i="4"/>
  <c r="L58" i="4" s="1"/>
  <c r="F58" i="4"/>
  <c r="I58" i="4" s="1"/>
  <c r="H57" i="4"/>
  <c r="L57" i="4" s="1"/>
  <c r="F57" i="4"/>
  <c r="I57" i="4" s="1"/>
  <c r="I51" i="4"/>
  <c r="H51" i="4"/>
  <c r="L51" i="4" s="1"/>
  <c r="I55" i="4"/>
  <c r="M55" i="4" s="1"/>
  <c r="H55" i="4"/>
  <c r="L55" i="4" s="1"/>
  <c r="H52" i="4"/>
  <c r="L52" i="4" s="1"/>
  <c r="F52" i="4"/>
  <c r="I52" i="4" s="1"/>
  <c r="M52" i="4" s="1"/>
  <c r="I49" i="4"/>
  <c r="M49" i="4" s="1"/>
  <c r="H49" i="4"/>
  <c r="L49" i="4" s="1"/>
  <c r="H47" i="4"/>
  <c r="L47" i="4" s="1"/>
  <c r="F47" i="4"/>
  <c r="I47" i="4" s="1"/>
  <c r="I46" i="4"/>
  <c r="H46" i="4"/>
  <c r="L46" i="4" s="1"/>
  <c r="H45" i="4"/>
  <c r="L45" i="4" s="1"/>
  <c r="F45" i="4"/>
  <c r="I45" i="4" s="1"/>
  <c r="M45" i="4" s="1"/>
  <c r="I43" i="4"/>
  <c r="M43" i="4" s="1"/>
  <c r="H43" i="4"/>
  <c r="L43" i="4" s="1"/>
  <c r="I44" i="4"/>
  <c r="H44" i="4"/>
  <c r="L44" i="4" s="1"/>
  <c r="H50" i="4"/>
  <c r="L50" i="4" s="1"/>
  <c r="F50" i="4"/>
  <c r="I50" i="4" s="1"/>
  <c r="M50" i="4" s="1"/>
  <c r="I42" i="4"/>
  <c r="M42" i="4" s="1"/>
  <c r="H42" i="4"/>
  <c r="L42" i="4" s="1"/>
  <c r="I39" i="4"/>
  <c r="H39" i="4"/>
  <c r="L39" i="4" s="1"/>
  <c r="H48" i="4"/>
  <c r="L48" i="4" s="1"/>
  <c r="F48" i="4"/>
  <c r="I48" i="4" s="1"/>
  <c r="M48" i="4" s="1"/>
  <c r="I41" i="4"/>
  <c r="M41" i="4" s="1"/>
  <c r="H41" i="4"/>
  <c r="L41" i="4" s="1"/>
  <c r="I40" i="4"/>
  <c r="H40" i="4"/>
  <c r="L40" i="4" s="1"/>
  <c r="I35" i="4"/>
  <c r="M35" i="4" s="1"/>
  <c r="H35" i="4"/>
  <c r="L35" i="4" s="1"/>
  <c r="I38" i="4"/>
  <c r="M38" i="4" s="1"/>
  <c r="H38" i="4"/>
  <c r="L38" i="4" s="1"/>
  <c r="I37" i="4"/>
  <c r="H37" i="4"/>
  <c r="L37" i="4" s="1"/>
  <c r="I36" i="4"/>
  <c r="H36" i="4"/>
  <c r="L36" i="4" s="1"/>
  <c r="I34" i="4"/>
  <c r="M34" i="4" s="1"/>
  <c r="H34" i="4"/>
  <c r="L34" i="4" s="1"/>
  <c r="I33" i="4"/>
  <c r="H33" i="4"/>
  <c r="L33" i="4" s="1"/>
  <c r="I32" i="4"/>
  <c r="M32" i="4" s="1"/>
  <c r="H32" i="4"/>
  <c r="L32" i="4" s="1"/>
  <c r="I31" i="4"/>
  <c r="M31" i="4" s="1"/>
  <c r="H31" i="4"/>
  <c r="L31" i="4" s="1"/>
  <c r="H30" i="4"/>
  <c r="L30" i="4" s="1"/>
  <c r="F30" i="4"/>
  <c r="I30" i="4" s="1"/>
  <c r="I23" i="4"/>
  <c r="H23" i="4"/>
  <c r="L23" i="4" s="1"/>
  <c r="I22" i="4"/>
  <c r="M22" i="4" s="1"/>
  <c r="H22" i="4"/>
  <c r="L22" i="4" s="1"/>
  <c r="I29" i="4"/>
  <c r="H29" i="4"/>
  <c r="L29" i="4" s="1"/>
  <c r="I28" i="4"/>
  <c r="M28" i="4" s="1"/>
  <c r="H28" i="4"/>
  <c r="L28" i="4" s="1"/>
  <c r="I21" i="4"/>
  <c r="M21" i="4" s="1"/>
  <c r="H21" i="4"/>
  <c r="L21" i="4" s="1"/>
  <c r="H27" i="4"/>
  <c r="L27" i="4" s="1"/>
  <c r="F27" i="4"/>
  <c r="I27" i="4" s="1"/>
  <c r="I26" i="4"/>
  <c r="M26" i="4" s="1"/>
  <c r="H26" i="4"/>
  <c r="L26" i="4" s="1"/>
  <c r="H25" i="4"/>
  <c r="L25" i="4" s="1"/>
  <c r="F25" i="4"/>
  <c r="I25" i="4" s="1"/>
  <c r="M25" i="4" s="1"/>
  <c r="I24" i="4"/>
  <c r="H24" i="4"/>
  <c r="L24" i="4" s="1"/>
  <c r="H20" i="4"/>
  <c r="L20" i="4" s="1"/>
  <c r="F20" i="4"/>
  <c r="I20" i="4" s="1"/>
  <c r="M20" i="4" s="1"/>
  <c r="H19" i="4"/>
  <c r="L19" i="4" s="1"/>
  <c r="F19" i="4"/>
  <c r="I19" i="4" s="1"/>
  <c r="I18" i="4"/>
  <c r="H18" i="4"/>
  <c r="L18" i="4" s="1"/>
  <c r="F18" i="4"/>
  <c r="H17" i="4"/>
  <c r="L17" i="4" s="1"/>
  <c r="F17" i="4"/>
  <c r="I17" i="4" s="1"/>
  <c r="M17" i="4" s="1"/>
  <c r="I16" i="4"/>
  <c r="M16" i="4" s="1"/>
  <c r="H16" i="4"/>
  <c r="L16" i="4" s="1"/>
  <c r="I15" i="4"/>
  <c r="M15" i="4" s="1"/>
  <c r="H15" i="4"/>
  <c r="L15" i="4" s="1"/>
  <c r="H14" i="4"/>
  <c r="L14" i="4" s="1"/>
  <c r="F14" i="4"/>
  <c r="I14" i="4" s="1"/>
  <c r="M14" i="4" s="1"/>
  <c r="I13" i="4"/>
  <c r="H13" i="4"/>
  <c r="L13" i="4" s="1"/>
  <c r="I12" i="4"/>
  <c r="H12" i="4"/>
  <c r="L12" i="4" s="1"/>
  <c r="I11" i="4"/>
  <c r="M11" i="4" s="1"/>
  <c r="H11" i="4"/>
  <c r="L11" i="4" s="1"/>
  <c r="I10" i="4"/>
  <c r="M10" i="4" s="1"/>
  <c r="H10" i="4"/>
  <c r="L10" i="4" s="1"/>
  <c r="H9" i="4"/>
  <c r="L9" i="4" s="1"/>
  <c r="F9" i="4"/>
  <c r="I9" i="4" s="1"/>
  <c r="M9" i="4" s="1"/>
  <c r="H8" i="4"/>
  <c r="L8" i="4" s="1"/>
  <c r="F8" i="4"/>
  <c r="I8" i="4" s="1"/>
  <c r="M8" i="4" s="1"/>
  <c r="I7" i="4"/>
  <c r="H7" i="4"/>
  <c r="L7" i="4" s="1"/>
  <c r="I6" i="4"/>
  <c r="H6" i="4"/>
  <c r="L6" i="4" s="1"/>
  <c r="H5" i="4"/>
  <c r="L5" i="4" s="1"/>
  <c r="F5" i="4"/>
  <c r="I5" i="4" s="1"/>
  <c r="M5" i="4" s="1"/>
  <c r="I4" i="4"/>
  <c r="M4" i="4" s="1"/>
  <c r="H4" i="4"/>
  <c r="L4" i="4" s="1"/>
  <c r="I3" i="4"/>
  <c r="M3" i="4" s="1"/>
  <c r="H3" i="4"/>
  <c r="L3" i="4" s="1"/>
  <c r="F47" i="3"/>
  <c r="F39" i="3"/>
  <c r="F38" i="3"/>
  <c r="F31" i="3"/>
  <c r="F30" i="3"/>
  <c r="F28" i="3"/>
  <c r="F21" i="3"/>
  <c r="F8" i="3"/>
  <c r="K40" i="2"/>
  <c r="J40" i="2"/>
  <c r="G40" i="2"/>
  <c r="K55" i="2"/>
  <c r="G55" i="2"/>
  <c r="J55" i="2" s="1"/>
  <c r="G54" i="2"/>
  <c r="K54" i="2" s="1"/>
  <c r="K53" i="2"/>
  <c r="J53" i="2"/>
  <c r="G53" i="2"/>
  <c r="K52" i="2"/>
  <c r="J52" i="2"/>
  <c r="G52" i="2"/>
  <c r="K51" i="2"/>
  <c r="J51" i="2"/>
  <c r="G51" i="2"/>
  <c r="K50" i="2"/>
  <c r="J50" i="2"/>
  <c r="G50" i="2"/>
  <c r="K49" i="2"/>
  <c r="J49" i="2"/>
  <c r="G49" i="2"/>
  <c r="K48" i="2"/>
  <c r="J48" i="2"/>
  <c r="G47" i="2"/>
  <c r="K47" i="2" s="1"/>
  <c r="J46" i="2"/>
  <c r="G46" i="2"/>
  <c r="K46" i="2" s="1"/>
  <c r="G45" i="2"/>
  <c r="J45" i="2" s="1"/>
  <c r="G44" i="2"/>
  <c r="K44" i="2" s="1"/>
  <c r="G43" i="2"/>
  <c r="K43" i="2" s="1"/>
  <c r="K42" i="2"/>
  <c r="J42" i="2"/>
  <c r="G42" i="2"/>
  <c r="K41" i="2"/>
  <c r="J41" i="2"/>
  <c r="G41" i="2"/>
  <c r="K39" i="2"/>
  <c r="J39" i="2"/>
  <c r="G39" i="2"/>
  <c r="G38" i="2"/>
  <c r="K38" i="2" s="1"/>
  <c r="K37" i="2"/>
  <c r="J37" i="2"/>
  <c r="G37" i="2"/>
  <c r="K36" i="2"/>
  <c r="J36" i="2"/>
  <c r="G36" i="2"/>
  <c r="K35" i="2"/>
  <c r="J35" i="2"/>
  <c r="G35" i="2"/>
  <c r="K34" i="2"/>
  <c r="J34" i="2"/>
  <c r="G33" i="2"/>
  <c r="K33" i="2" s="1"/>
  <c r="G32" i="2"/>
  <c r="K32" i="2" s="1"/>
  <c r="F32" i="2"/>
  <c r="K31" i="2"/>
  <c r="J31" i="2"/>
  <c r="K30" i="2"/>
  <c r="J30" i="2"/>
  <c r="G29" i="2"/>
  <c r="K29" i="2" s="1"/>
  <c r="K28" i="2"/>
  <c r="G28" i="2"/>
  <c r="J28" i="2" s="1"/>
  <c r="G27" i="2"/>
  <c r="J27" i="2" s="1"/>
  <c r="F27" i="2"/>
  <c r="K27" i="2" s="1"/>
  <c r="K26" i="2"/>
  <c r="J26" i="2"/>
  <c r="K25" i="2"/>
  <c r="J25" i="2"/>
  <c r="K24" i="2"/>
  <c r="J24" i="2"/>
  <c r="G24" i="2"/>
  <c r="K23" i="2"/>
  <c r="J23" i="2"/>
  <c r="G23" i="2"/>
  <c r="K22" i="2"/>
  <c r="J22" i="2"/>
  <c r="G22" i="2"/>
  <c r="F22" i="2"/>
  <c r="G21" i="2"/>
  <c r="J21" i="2" s="1"/>
  <c r="F21" i="2"/>
  <c r="K21" i="2" s="1"/>
  <c r="G20" i="2"/>
  <c r="J20" i="2" s="1"/>
  <c r="F20" i="2"/>
  <c r="K20" i="2" s="1"/>
  <c r="K19" i="2"/>
  <c r="J19" i="2"/>
  <c r="G19" i="2"/>
  <c r="G18" i="2"/>
  <c r="J18" i="2" s="1"/>
  <c r="F18" i="2"/>
  <c r="K18" i="2" s="1"/>
  <c r="K17" i="2"/>
  <c r="J17" i="2"/>
  <c r="J16" i="2"/>
  <c r="G16" i="2"/>
  <c r="F16" i="2"/>
  <c r="K16" i="2" s="1"/>
  <c r="K15" i="2"/>
  <c r="G15" i="2"/>
  <c r="J15" i="2" s="1"/>
  <c r="G14" i="2"/>
  <c r="J14" i="2" s="1"/>
  <c r="F14" i="2"/>
  <c r="K14" i="2" s="1"/>
  <c r="G13" i="2"/>
  <c r="K13" i="2" s="1"/>
  <c r="G12" i="2"/>
  <c r="K12" i="2" s="1"/>
  <c r="G11" i="2"/>
  <c r="J11" i="2" s="1"/>
  <c r="F11" i="2"/>
  <c r="K11" i="2" s="1"/>
  <c r="K10" i="2"/>
  <c r="J10" i="2"/>
  <c r="G10" i="2"/>
  <c r="F10" i="2"/>
  <c r="G9" i="2"/>
  <c r="J9" i="2" s="1"/>
  <c r="F9" i="2"/>
  <c r="K9" i="2" s="1"/>
  <c r="G8" i="2"/>
  <c r="K8" i="2" s="1"/>
  <c r="G7" i="2"/>
  <c r="K7" i="2" s="1"/>
  <c r="F7" i="2"/>
  <c r="J6" i="2"/>
  <c r="G6" i="2"/>
  <c r="F6" i="2"/>
  <c r="K6" i="2" s="1"/>
  <c r="K5" i="2"/>
  <c r="G5" i="2"/>
  <c r="J5" i="2" s="1"/>
  <c r="G4" i="2"/>
  <c r="J4" i="2" s="1"/>
  <c r="F4" i="2"/>
  <c r="K4" i="2" s="1"/>
  <c r="G3" i="2"/>
  <c r="J3" i="2" s="1"/>
  <c r="F3" i="2"/>
  <c r="K3" i="2" s="1"/>
  <c r="M36" i="4" l="1"/>
  <c r="M23" i="4"/>
  <c r="M18" i="4"/>
  <c r="O15" i="4" s="1"/>
  <c r="M37" i="4"/>
  <c r="M39" i="4"/>
  <c r="M46" i="4"/>
  <c r="M24" i="4"/>
  <c r="M29" i="4"/>
  <c r="M33" i="4"/>
  <c r="M40" i="4"/>
  <c r="M44" i="4"/>
  <c r="M54" i="4"/>
  <c r="M51" i="4"/>
  <c r="M59" i="4"/>
  <c r="M6" i="4"/>
  <c r="M12" i="4"/>
  <c r="M27" i="4"/>
  <c r="O27" i="4" s="1"/>
  <c r="M30" i="4"/>
  <c r="M57" i="4"/>
  <c r="M60" i="4"/>
  <c r="M7" i="4"/>
  <c r="M13" i="4"/>
  <c r="M19" i="4"/>
  <c r="M47" i="4"/>
  <c r="M58" i="4"/>
  <c r="M61" i="4"/>
  <c r="L14" i="2"/>
  <c r="P7" i="2" s="1"/>
  <c r="M47" i="2"/>
  <c r="Q10" i="2" s="1"/>
  <c r="D11" i="1" s="1"/>
  <c r="M14" i="2"/>
  <c r="Q7" i="2" s="1"/>
  <c r="M3" i="2"/>
  <c r="Q6" i="2" s="1"/>
  <c r="M25" i="2"/>
  <c r="Q8" i="2" s="1"/>
  <c r="D9" i="1" s="1"/>
  <c r="D7" i="1"/>
  <c r="D8" i="1"/>
  <c r="C8" i="1"/>
  <c r="P3" i="2"/>
  <c r="Q15" i="2" s="1"/>
  <c r="D16" i="1" s="1"/>
  <c r="D27" i="1"/>
  <c r="L14" i="3"/>
  <c r="D35" i="1" s="1"/>
  <c r="K15" i="3"/>
  <c r="C36" i="1" s="1"/>
  <c r="C28" i="1"/>
  <c r="D28" i="1"/>
  <c r="L15" i="3"/>
  <c r="D36" i="1" s="1"/>
  <c r="K14" i="3"/>
  <c r="C35" i="1" s="1"/>
  <c r="C27" i="1"/>
  <c r="C29" i="1"/>
  <c r="K16" i="3"/>
  <c r="C37" i="1" s="1"/>
  <c r="D29" i="1"/>
  <c r="L16" i="3"/>
  <c r="D37" i="1" s="1"/>
  <c r="K17" i="3"/>
  <c r="C38" i="1" s="1"/>
  <c r="C30" i="1"/>
  <c r="D30" i="1"/>
  <c r="L17" i="3"/>
  <c r="D38" i="1" s="1"/>
  <c r="K18" i="3"/>
  <c r="C39" i="1" s="1"/>
  <c r="C31" i="1"/>
  <c r="D31" i="1"/>
  <c r="L18" i="3"/>
  <c r="D39" i="1" s="1"/>
  <c r="N15" i="4"/>
  <c r="N51" i="4"/>
  <c r="N39" i="4"/>
  <c r="N27" i="4"/>
  <c r="Z11" i="4"/>
  <c r="C43" i="1" s="1"/>
  <c r="N3" i="4"/>
  <c r="K45" i="2"/>
  <c r="M36" i="2" s="1"/>
  <c r="Q9" i="2" s="1"/>
  <c r="J7" i="2"/>
  <c r="J33" i="2"/>
  <c r="J13" i="2"/>
  <c r="J32" i="2"/>
  <c r="J54" i="2"/>
  <c r="L47" i="2" s="1"/>
  <c r="P10" i="2" s="1"/>
  <c r="C11" i="1" s="1"/>
  <c r="J47" i="2"/>
  <c r="J29" i="2"/>
  <c r="J38" i="2"/>
  <c r="J43" i="2"/>
  <c r="J8" i="2"/>
  <c r="J44" i="2"/>
  <c r="J12" i="2"/>
  <c r="AA11" i="4" l="1"/>
  <c r="D43" i="1" s="1"/>
  <c r="O51" i="4"/>
  <c r="AB18" i="4" s="1"/>
  <c r="D51" i="1" s="1"/>
  <c r="O39" i="4"/>
  <c r="O3" i="4"/>
  <c r="AB14" i="4" s="1"/>
  <c r="D47" i="1" s="1"/>
  <c r="L25" i="2"/>
  <c r="P8" i="2" s="1"/>
  <c r="O3" i="2"/>
  <c r="P16" i="2" s="1"/>
  <c r="C17" i="1" s="1"/>
  <c r="L36" i="2"/>
  <c r="P9" i="2" s="1"/>
  <c r="P17" i="2" s="1"/>
  <c r="C18" i="1" s="1"/>
  <c r="C10" i="1"/>
  <c r="C9" i="1"/>
  <c r="D10" i="1"/>
  <c r="Q17" i="2"/>
  <c r="D18" i="1" s="1"/>
  <c r="C3" i="1"/>
  <c r="P18" i="2"/>
  <c r="C19" i="1" s="1"/>
  <c r="P15" i="2"/>
  <c r="C16" i="1" s="1"/>
  <c r="D3" i="1"/>
  <c r="Q18" i="2"/>
  <c r="D19" i="1" s="1"/>
  <c r="Q14" i="2"/>
  <c r="D15" i="1" s="1"/>
  <c r="L3" i="2"/>
  <c r="P6" i="2" s="1"/>
  <c r="Q16" i="2"/>
  <c r="D17" i="1" s="1"/>
  <c r="AB15" i="4"/>
  <c r="D48" i="1" s="1"/>
  <c r="AA22" i="4"/>
  <c r="C55" i="1" s="1"/>
  <c r="AA14" i="4"/>
  <c r="C47" i="1" s="1"/>
  <c r="AA24" i="4"/>
  <c r="C57" i="1" s="1"/>
  <c r="AA16" i="4"/>
  <c r="C49" i="1" s="1"/>
  <c r="AA25" i="4"/>
  <c r="C58" i="1" s="1"/>
  <c r="AA17" i="4"/>
  <c r="C50" i="1" s="1"/>
  <c r="AB25" i="4"/>
  <c r="D58" i="1" s="1"/>
  <c r="AB17" i="4"/>
  <c r="D50" i="1" s="1"/>
  <c r="AB16" i="4"/>
  <c r="D49" i="1" s="1"/>
  <c r="AA18" i="4"/>
  <c r="C51" i="1" s="1"/>
  <c r="AA26" i="4"/>
  <c r="C59" i="1" s="1"/>
  <c r="AA23" i="4"/>
  <c r="C56" i="1" s="1"/>
  <c r="AA15" i="4"/>
  <c r="C48" i="1" s="1"/>
  <c r="AB24" i="4" l="1"/>
  <c r="D57" i="1" s="1"/>
  <c r="H6" i="1" s="1"/>
  <c r="AB23" i="4"/>
  <c r="D56" i="1" s="1"/>
  <c r="H5" i="1" s="1"/>
  <c r="AB26" i="4"/>
  <c r="D59" i="1" s="1"/>
  <c r="H8" i="1" s="1"/>
  <c r="AB22" i="4"/>
  <c r="D55" i="1" s="1"/>
  <c r="H4" i="1" s="1"/>
  <c r="G7" i="1"/>
  <c r="H7" i="1"/>
  <c r="G6" i="1"/>
  <c r="G5" i="1"/>
  <c r="G8" i="1"/>
  <c r="P14" i="2"/>
  <c r="C15" i="1" s="1"/>
  <c r="G4" i="1" s="1"/>
  <c r="C7" i="1"/>
</calcChain>
</file>

<file path=xl/sharedStrings.xml><?xml version="1.0" encoding="utf-8"?>
<sst xmlns="http://schemas.openxmlformats.org/spreadsheetml/2006/main" count="796" uniqueCount="252">
  <si>
    <t>Functional unit: 1m² table</t>
  </si>
  <si>
    <t>ID</t>
  </si>
  <si>
    <t>Q</t>
  </si>
  <si>
    <t>Source</t>
  </si>
  <si>
    <t>Product</t>
  </si>
  <si>
    <t>Price €</t>
  </si>
  <si>
    <t>Weight kg</t>
  </si>
  <si>
    <t>m²</t>
  </si>
  <si>
    <t>people</t>
  </si>
  <si>
    <t>€/m²</t>
  </si>
  <si>
    <t>kg/m²</t>
  </si>
  <si>
    <t>IKEA</t>
  </si>
  <si>
    <t>Tärendö</t>
  </si>
  <si>
    <t>MELLTORP</t>
  </si>
  <si>
    <t>ingo</t>
  </si>
  <si>
    <t>RYDEBÄCK 1</t>
  </si>
  <si>
    <t>SLÄHULT</t>
  </si>
  <si>
    <t>JYSK</t>
  </si>
  <si>
    <t>LANGDAL 1</t>
  </si>
  <si>
    <t>Lerhamn</t>
  </si>
  <si>
    <t>Lisabo</t>
  </si>
  <si>
    <t>NORDBY</t>
  </si>
  <si>
    <t>Meubis</t>
  </si>
  <si>
    <t>Nice</t>
  </si>
  <si>
    <t>NORRÅKER</t>
  </si>
  <si>
    <t>RADBY</t>
  </si>
  <si>
    <t>TOMMARYD</t>
  </si>
  <si>
    <t>Eleonora</t>
  </si>
  <si>
    <t>OMTÄNKSAM</t>
  </si>
  <si>
    <t>York Cottage X</t>
  </si>
  <si>
    <t>ÖVRARYD</t>
  </si>
  <si>
    <t>SKOGSTA</t>
  </si>
  <si>
    <t>Västanby</t>
  </si>
  <si>
    <t>AGERSKOV</t>
  </si>
  <si>
    <t>Detroit</t>
  </si>
  <si>
    <t>Sciae - Electra</t>
  </si>
  <si>
    <t>Sciae - Elypse</t>
  </si>
  <si>
    <t>MÖRBYLÅNGA</t>
  </si>
  <si>
    <t>KARWEI</t>
  </si>
  <si>
    <t>WOOOD tafel Largo</t>
  </si>
  <si>
    <t>WOOOD eettafel Ingo</t>
  </si>
  <si>
    <t>Acacia</t>
  </si>
  <si>
    <t>Apex</t>
  </si>
  <si>
    <t>Vedbo</t>
  </si>
  <si>
    <t>Colori</t>
  </si>
  <si>
    <t>Eleonora 3</t>
  </si>
  <si>
    <t>WOOOD eettafel Jamie</t>
  </si>
  <si>
    <t>WOOOD eettafel Jimmy</t>
  </si>
  <si>
    <t>Sciae - Ovio</t>
  </si>
  <si>
    <t>Eleonora 2</t>
  </si>
  <si>
    <t>Tirso</t>
  </si>
  <si>
    <t>Omaha</t>
  </si>
  <si>
    <t>Eleonora - Boomstam tafel</t>
  </si>
  <si>
    <t>Amazone</t>
  </si>
  <si>
    <t>Hudson</t>
  </si>
  <si>
    <t>Galina</t>
  </si>
  <si>
    <t>Scandi</t>
  </si>
  <si>
    <t>Managua 2</t>
  </si>
  <si>
    <t>Koami</t>
  </si>
  <si>
    <t>Managua</t>
  </si>
  <si>
    <t>Koami 2</t>
  </si>
  <si>
    <t>Nagano</t>
  </si>
  <si>
    <t>Nagano 2</t>
  </si>
  <si>
    <t>Kobe</t>
  </si>
  <si>
    <t>Medoza</t>
  </si>
  <si>
    <t>Radus</t>
  </si>
  <si>
    <t>Functional unit: one chair</t>
  </si>
  <si>
    <t>Adde</t>
  </si>
  <si>
    <t>Ivar</t>
  </si>
  <si>
    <t>Stefan</t>
  </si>
  <si>
    <t>jysk</t>
  </si>
  <si>
    <t xml:space="preserve">TRUSTRUP </t>
  </si>
  <si>
    <t>LYSTRUP</t>
  </si>
  <si>
    <t>Martin</t>
  </si>
  <si>
    <t>Teodores</t>
  </si>
  <si>
    <t>Harry</t>
  </si>
  <si>
    <t>K202</t>
  </si>
  <si>
    <t>EJBY</t>
  </si>
  <si>
    <t>Janinge</t>
  </si>
  <si>
    <t>Karljan</t>
  </si>
  <si>
    <t>Leifarne 1</t>
  </si>
  <si>
    <t>NORDMYRA</t>
  </si>
  <si>
    <t>Skogsta</t>
  </si>
  <si>
    <t>K137</t>
  </si>
  <si>
    <t>JONSTRUP</t>
  </si>
  <si>
    <t>Leifarne 2</t>
  </si>
  <si>
    <t>K66</t>
  </si>
  <si>
    <t>Svenbertil</t>
  </si>
  <si>
    <t>Ekedalen</t>
  </si>
  <si>
    <t>Ingolf</t>
  </si>
  <si>
    <t xml:space="preserve">VANDEL </t>
  </si>
  <si>
    <t>K309</t>
  </si>
  <si>
    <t>FANBYN 2</t>
  </si>
  <si>
    <t>HAMMEL 1</t>
  </si>
  <si>
    <t>Hendriksdal</t>
  </si>
  <si>
    <t>HENRIKSDAL</t>
  </si>
  <si>
    <t>idolf</t>
  </si>
  <si>
    <t>LISELEJE</t>
  </si>
  <si>
    <t>Volfgang</t>
  </si>
  <si>
    <t>KOKKEDAL</t>
  </si>
  <si>
    <t>Jay</t>
  </si>
  <si>
    <t>K405</t>
  </si>
  <si>
    <t>ANGRIM</t>
  </si>
  <si>
    <t>FANBYN 1</t>
  </si>
  <si>
    <t>HAMMEL 2</t>
  </si>
  <si>
    <t>Norraryd</t>
  </si>
  <si>
    <t>Odger</t>
  </si>
  <si>
    <t>Rönninge</t>
  </si>
  <si>
    <t>Tobias</t>
  </si>
  <si>
    <t>K406</t>
  </si>
  <si>
    <t>Torvid</t>
  </si>
  <si>
    <t>K399</t>
  </si>
  <si>
    <t>K272</t>
  </si>
  <si>
    <t>Avadi</t>
  </si>
  <si>
    <t>Gavite 01</t>
  </si>
  <si>
    <t>Koeln</t>
  </si>
  <si>
    <t>K231</t>
  </si>
  <si>
    <t>K338</t>
  </si>
  <si>
    <t>Paulo</t>
  </si>
  <si>
    <t>BALTSAR</t>
  </si>
  <si>
    <t>Karlhugo</t>
  </si>
  <si>
    <t>Nathan</t>
  </si>
  <si>
    <t>Bernhard</t>
  </si>
  <si>
    <t>Samuel</t>
  </si>
  <si>
    <t>Floor</t>
  </si>
  <si>
    <t>Karlerik</t>
  </si>
  <si>
    <t>Tossberg 2</t>
  </si>
  <si>
    <t>Oddmund</t>
  </si>
  <si>
    <t>Svenarne</t>
  </si>
  <si>
    <t>Tossberg 1</t>
  </si>
  <si>
    <t>Meggy</t>
  </si>
  <si>
    <t>Tossberg 3</t>
  </si>
  <si>
    <t>Functional unit: 2m² bed with lattenbodem and matras</t>
  </si>
  <si>
    <t>ADJUSTED</t>
  </si>
  <si>
    <t>Width (m)</t>
  </si>
  <si>
    <t>€/m</t>
  </si>
  <si>
    <t>kg/m</t>
  </si>
  <si>
    <t>All with lattenbodem</t>
  </si>
  <si>
    <t>Neiden</t>
  </si>
  <si>
    <t>with bodem</t>
  </si>
  <si>
    <t>Slattum</t>
  </si>
  <si>
    <t>Askvoll 1</t>
  </si>
  <si>
    <t>KOPARDAL 1</t>
  </si>
  <si>
    <t>Ilona</t>
  </si>
  <si>
    <t>SAGSTUA 3</t>
  </si>
  <si>
    <t>Songesand 1</t>
  </si>
  <si>
    <t>Praxos</t>
  </si>
  <si>
    <t>Anna</t>
  </si>
  <si>
    <t>Emma</t>
  </si>
  <si>
    <t>Helga</t>
  </si>
  <si>
    <t>Malm</t>
  </si>
  <si>
    <t>Vedde</t>
  </si>
  <si>
    <t xml:space="preserve">VESTERVIG </t>
  </si>
  <si>
    <t>Askvoll 2</t>
  </si>
  <si>
    <t>SAGSTUA 1</t>
  </si>
  <si>
    <t>Songesand 2</t>
  </si>
  <si>
    <t>Joker</t>
  </si>
  <si>
    <t>KOPARDAL 2</t>
  </si>
  <si>
    <t>Alice</t>
  </si>
  <si>
    <t>Polden</t>
  </si>
  <si>
    <t>no bodem</t>
  </si>
  <si>
    <t>Eric</t>
  </si>
  <si>
    <t>Twister</t>
  </si>
  <si>
    <t>Tiffany</t>
  </si>
  <si>
    <t>Ledikant</t>
  </si>
  <si>
    <t>Albildro</t>
  </si>
  <si>
    <t>SAGSTUA 2</t>
  </si>
  <si>
    <t>Nani</t>
  </si>
  <si>
    <t>Delia</t>
  </si>
  <si>
    <t>Karlo</t>
  </si>
  <si>
    <t>Chanel</t>
  </si>
  <si>
    <t>Howard</t>
  </si>
  <si>
    <t>Isa</t>
  </si>
  <si>
    <t>Billund</t>
  </si>
  <si>
    <t>Altea</t>
  </si>
  <si>
    <t>Prado</t>
  </si>
  <si>
    <t>Aruba</t>
  </si>
  <si>
    <t>Ikea</t>
  </si>
  <si>
    <t>Lauvik 2</t>
  </si>
  <si>
    <t>Boxspring</t>
  </si>
  <si>
    <t xml:space="preserve">KUNGSHAMN </t>
  </si>
  <si>
    <t>Nadja</t>
  </si>
  <si>
    <t>Lauvik</t>
  </si>
  <si>
    <t>Virgo</t>
  </si>
  <si>
    <t>Bed</t>
  </si>
  <si>
    <t xml:space="preserve">DALBY </t>
  </si>
  <si>
    <t>Björksnäs</t>
  </si>
  <si>
    <t>Ivonne</t>
  </si>
  <si>
    <t>Delaktik</t>
  </si>
  <si>
    <t>Verano</t>
  </si>
  <si>
    <t>Dunvik</t>
  </si>
  <si>
    <t>Orlando 2</t>
  </si>
  <si>
    <t>Mara</t>
  </si>
  <si>
    <t>No bodem</t>
  </si>
  <si>
    <t>MJÖLVIK</t>
  </si>
  <si>
    <t>Finnsnes</t>
  </si>
  <si>
    <t>Mara 2</t>
  </si>
  <si>
    <t>Mara 3</t>
  </si>
  <si>
    <t>Float</t>
  </si>
  <si>
    <t>Orlando 1</t>
  </si>
  <si>
    <t>KONGSFJORD 2</t>
  </si>
  <si>
    <t>KONGSFJORD 1</t>
  </si>
  <si>
    <t>Espevär</t>
  </si>
  <si>
    <t>Add lattenbodem</t>
  </si>
  <si>
    <t>Mean (Q)</t>
  </si>
  <si>
    <t>€/m2</t>
  </si>
  <si>
    <t>kg/m2</t>
  </si>
  <si>
    <t>Mean(T)</t>
  </si>
  <si>
    <t>Mean(Q)</t>
  </si>
  <si>
    <t>€/FU</t>
  </si>
  <si>
    <t>kg/FU</t>
  </si>
  <si>
    <t>Price €/m</t>
  </si>
  <si>
    <t>Weight kg/m</t>
  </si>
  <si>
    <t>Lattenbodem 140x200</t>
  </si>
  <si>
    <t>Leirsund</t>
  </si>
  <si>
    <t>Lönset</t>
  </si>
  <si>
    <t>Mean</t>
  </si>
  <si>
    <t>Q1</t>
  </si>
  <si>
    <t>Q2</t>
  </si>
  <si>
    <t>Q3</t>
  </si>
  <si>
    <t>Q4</t>
  </si>
  <si>
    <t>Q5</t>
  </si>
  <si>
    <t>Mean per Quintile</t>
  </si>
  <si>
    <t>Relative mean per Quintile</t>
  </si>
  <si>
    <t>Dining table</t>
  </si>
  <si>
    <t>Chair</t>
  </si>
  <si>
    <t>(Double) bed</t>
  </si>
  <si>
    <t>€/unit</t>
  </si>
  <si>
    <t>kg/unit</t>
  </si>
  <si>
    <t>FU: m2</t>
  </si>
  <si>
    <t>FU: unit</t>
  </si>
  <si>
    <t>General</t>
  </si>
  <si>
    <t>Overall mean per Quintile</t>
  </si>
  <si>
    <t>Weight factor per Quintile</t>
  </si>
  <si>
    <t>Armchair</t>
  </si>
  <si>
    <t>General weight factor y/n</t>
  </si>
  <si>
    <t>n</t>
  </si>
  <si>
    <t>y</t>
  </si>
  <si>
    <t>Bar stool</t>
  </si>
  <si>
    <t>Big closet</t>
  </si>
  <si>
    <t>Office chair</t>
  </si>
  <si>
    <t>Desk</t>
  </si>
  <si>
    <t>Small closet</t>
  </si>
  <si>
    <t>Mattress</t>
  </si>
  <si>
    <t>Side table</t>
  </si>
  <si>
    <t>Sofa</t>
  </si>
  <si>
    <t>Stool</t>
  </si>
  <si>
    <t>Container</t>
  </si>
  <si>
    <t>Note on Lattenbodem data: contribution from Boris van Beijnum, 2021</t>
  </si>
  <si>
    <t>Note: unused</t>
  </si>
  <si>
    <t xml:space="preserve"> </t>
  </si>
  <si>
    <t>Quintile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</si>
</sst>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8"/>
      <name val="Calibri"/>
      <family val="2"/>
      <scheme val="minor"/>
    </font>
    <font>
      <b/>
      <sz val="11"/>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1"/>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5">
    <xf numFmtId="0" fontId="0" fillId="0" borderId="0" xfId="0"/>
    <xf numFmtId="0" fontId="0" fillId="2" borderId="0" xfId="0" applyFill="1"/>
    <xf numFmtId="0" fontId="0" fillId="3" borderId="0" xfId="0" applyFill="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Border="1"/>
    <xf numFmtId="0" fontId="0" fillId="0" borderId="7" xfId="0" applyBorder="1"/>
    <xf numFmtId="0" fontId="0" fillId="0" borderId="8" xfId="0" applyBorder="1"/>
    <xf numFmtId="0" fontId="0" fillId="4" borderId="0" xfId="0" applyFill="1"/>
    <xf numFmtId="0" fontId="2" fillId="0" borderId="0" xfId="0" applyFont="1"/>
    <xf numFmtId="0" fontId="0" fillId="2"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Relative weight difference per price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scatterChart>
        <c:scatterStyle val="lineMarker"/>
        <c:varyColors val="0"/>
        <c:ser>
          <c:idx val="0"/>
          <c:order val="0"/>
          <c:tx>
            <c:v>(Dining) table</c:v>
          </c:tx>
          <c:spPr>
            <a:ln w="25400" cap="rnd">
              <a:noFill/>
              <a:round/>
            </a:ln>
            <a:effectLst/>
          </c:spPr>
          <c:marker>
            <c:symbol val="circle"/>
            <c:size val="5"/>
            <c:spPr>
              <a:solidFill>
                <a:schemeClr val="accent1"/>
              </a:solidFill>
              <a:ln w="9525">
                <a:solidFill>
                  <a:schemeClr val="accent1"/>
                </a:solidFill>
              </a:ln>
              <a:effectLst/>
            </c:spPr>
          </c:marker>
          <c:xVal>
            <c:numRef>
              <c:f>Summary!$C$15:$C$19</c:f>
              <c:numCache>
                <c:formatCode>General</c:formatCode>
                <c:ptCount val="5"/>
                <c:pt idx="0">
                  <c:v>0.24159393234573773</c:v>
                </c:pt>
                <c:pt idx="1">
                  <c:v>0.54141423920089671</c:v>
                </c:pt>
                <c:pt idx="2">
                  <c:v>0.81248583201154656</c:v>
                </c:pt>
                <c:pt idx="3">
                  <c:v>1.1289244935907585</c:v>
                </c:pt>
                <c:pt idx="4">
                  <c:v>2.5590440590401857</c:v>
                </c:pt>
              </c:numCache>
            </c:numRef>
          </c:xVal>
          <c:yVal>
            <c:numRef>
              <c:f>Summary!$D$15:$D$19</c:f>
              <c:numCache>
                <c:formatCode>General</c:formatCode>
                <c:ptCount val="5"/>
                <c:pt idx="0">
                  <c:v>0.55864301652688697</c:v>
                </c:pt>
                <c:pt idx="1">
                  <c:v>0.71056083737952425</c:v>
                </c:pt>
                <c:pt idx="2">
                  <c:v>0.88488331863983039</c:v>
                </c:pt>
                <c:pt idx="3">
                  <c:v>1.110082789125397</c:v>
                </c:pt>
                <c:pt idx="4">
                  <c:v>1.8993478246235527</c:v>
                </c:pt>
              </c:numCache>
            </c:numRef>
          </c:yVal>
          <c:smooth val="0"/>
          <c:extLst>
            <c:ext xmlns:c16="http://schemas.microsoft.com/office/drawing/2014/chart" uri="{C3380CC4-5D6E-409C-BE32-E72D297353CC}">
              <c16:uniqueId val="{00000000-F70C-4912-8D2E-D6BAD4C144C0}"/>
            </c:ext>
          </c:extLst>
        </c:ser>
        <c:ser>
          <c:idx val="1"/>
          <c:order val="1"/>
          <c:tx>
            <c:v>Chair</c:v>
          </c:tx>
          <c:spPr>
            <a:ln w="25400" cap="rnd">
              <a:noFill/>
              <a:round/>
            </a:ln>
            <a:effectLst/>
          </c:spPr>
          <c:marker>
            <c:symbol val="circle"/>
            <c:size val="5"/>
            <c:spPr>
              <a:solidFill>
                <a:schemeClr val="accent2"/>
              </a:solidFill>
              <a:ln w="9525">
                <a:solidFill>
                  <a:schemeClr val="accent2"/>
                </a:solidFill>
              </a:ln>
              <a:effectLst/>
            </c:spPr>
          </c:marker>
          <c:xVal>
            <c:numRef>
              <c:f>Summary!$C$35:$C$39</c:f>
              <c:numCache>
                <c:formatCode>General</c:formatCode>
                <c:ptCount val="5"/>
                <c:pt idx="0">
                  <c:v>0.37416906425831575</c:v>
                </c:pt>
                <c:pt idx="1">
                  <c:v>0.62802067058216704</c:v>
                </c:pt>
                <c:pt idx="2">
                  <c:v>0.85042566858223767</c:v>
                </c:pt>
                <c:pt idx="3">
                  <c:v>1.2565517788646619</c:v>
                </c:pt>
                <c:pt idx="4">
                  <c:v>2.039304953998053</c:v>
                </c:pt>
              </c:numCache>
            </c:numRef>
          </c:xVal>
          <c:yVal>
            <c:numRef>
              <c:f>Summary!$D$35:$D$39</c:f>
              <c:numCache>
                <c:formatCode>General</c:formatCode>
                <c:ptCount val="5"/>
                <c:pt idx="0">
                  <c:v>0.76987869558367916</c:v>
                </c:pt>
                <c:pt idx="1">
                  <c:v>0.85282481001642896</c:v>
                </c:pt>
                <c:pt idx="2">
                  <c:v>0.82466598150051384</c:v>
                </c:pt>
                <c:pt idx="3">
                  <c:v>1.1739476823129611</c:v>
                </c:pt>
                <c:pt idx="4">
                  <c:v>1.4417966356841536</c:v>
                </c:pt>
              </c:numCache>
            </c:numRef>
          </c:yVal>
          <c:smooth val="0"/>
          <c:extLst>
            <c:ext xmlns:c16="http://schemas.microsoft.com/office/drawing/2014/chart" uri="{C3380CC4-5D6E-409C-BE32-E72D297353CC}">
              <c16:uniqueId val="{00000004-F70C-4912-8D2E-D6BAD4C144C0}"/>
            </c:ext>
          </c:extLst>
        </c:ser>
        <c:ser>
          <c:idx val="2"/>
          <c:order val="2"/>
          <c:tx>
            <c:v>(Double) bed</c:v>
          </c:tx>
          <c:spPr>
            <a:ln w="25400" cap="rnd">
              <a:noFill/>
              <a:round/>
            </a:ln>
            <a:effectLst/>
          </c:spPr>
          <c:marker>
            <c:symbol val="circle"/>
            <c:size val="5"/>
            <c:spPr>
              <a:solidFill>
                <a:schemeClr val="accent3"/>
              </a:solidFill>
              <a:ln w="9525">
                <a:solidFill>
                  <a:schemeClr val="accent3"/>
                </a:solidFill>
              </a:ln>
              <a:effectLst/>
            </c:spPr>
          </c:marker>
          <c:xVal>
            <c:numRef>
              <c:f>Summary!$C$55:$C$59</c:f>
              <c:numCache>
                <c:formatCode>General</c:formatCode>
                <c:ptCount val="5"/>
                <c:pt idx="0">
                  <c:v>0.34764191819865048</c:v>
                </c:pt>
                <c:pt idx="1">
                  <c:v>0.4999175173083924</c:v>
                </c:pt>
                <c:pt idx="2">
                  <c:v>0.63116093513529781</c:v>
                </c:pt>
                <c:pt idx="3">
                  <c:v>1.0432334808045822</c:v>
                </c:pt>
                <c:pt idx="4">
                  <c:v>2.4780461485530774</c:v>
                </c:pt>
              </c:numCache>
            </c:numRef>
          </c:xVal>
          <c:yVal>
            <c:numRef>
              <c:f>Summary!$D$55:$D$59</c:f>
              <c:numCache>
                <c:formatCode>General</c:formatCode>
                <c:ptCount val="5"/>
                <c:pt idx="0">
                  <c:v>0.62375390025574795</c:v>
                </c:pt>
                <c:pt idx="1">
                  <c:v>0.77689287599175916</c:v>
                </c:pt>
                <c:pt idx="2">
                  <c:v>0.89737738873377593</c:v>
                </c:pt>
                <c:pt idx="3">
                  <c:v>0.95359642523730315</c:v>
                </c:pt>
                <c:pt idx="4">
                  <c:v>1.748379409781416</c:v>
                </c:pt>
              </c:numCache>
            </c:numRef>
          </c:yVal>
          <c:smooth val="0"/>
          <c:extLst>
            <c:ext xmlns:c16="http://schemas.microsoft.com/office/drawing/2014/chart" uri="{C3380CC4-5D6E-409C-BE32-E72D297353CC}">
              <c16:uniqueId val="{00000005-F70C-4912-8D2E-D6BAD4C144C0}"/>
            </c:ext>
          </c:extLst>
        </c:ser>
        <c:dLbls>
          <c:showLegendKey val="0"/>
          <c:showVal val="0"/>
          <c:showCatName val="0"/>
          <c:showSerName val="0"/>
          <c:showPercent val="0"/>
          <c:showBubbleSize val="0"/>
        </c:dLbls>
        <c:axId val="1456351472"/>
        <c:axId val="1456359792"/>
      </c:scatterChart>
      <c:valAx>
        <c:axId val="14563514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a:t>
                </a:r>
                <a:r>
                  <a:rPr lang="en-GB" baseline="0"/>
                  <a:t> </a:t>
                </a:r>
                <a:r>
                  <a:rPr lang="en-GB"/>
                  <a:t>€/ FU</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56359792"/>
        <c:crosses val="autoZero"/>
        <c:crossBetween val="midCat"/>
      </c:valAx>
      <c:valAx>
        <c:axId val="1456359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kg/ FU</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563514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Dining table weight relative</a:t>
            </a:r>
            <a:r>
              <a:rPr lang="en-GB" baseline="0"/>
              <a:t> to price</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'Dining table'!$J$3:$J$55</c:f>
              <c:numCache>
                <c:formatCode>General</c:formatCode>
                <c:ptCount val="53"/>
                <c:pt idx="0">
                  <c:v>40.705563093622793</c:v>
                </c:pt>
                <c:pt idx="1">
                  <c:v>42.666666666666664</c:v>
                </c:pt>
                <c:pt idx="2">
                  <c:v>55.555555555555564</c:v>
                </c:pt>
                <c:pt idx="3">
                  <c:v>76.068376068376068</c:v>
                </c:pt>
                <c:pt idx="4">
                  <c:v>77.477477477477478</c:v>
                </c:pt>
                <c:pt idx="5">
                  <c:v>87.134502923976612</c:v>
                </c:pt>
                <c:pt idx="6">
                  <c:v>103.06917086578103</c:v>
                </c:pt>
                <c:pt idx="7">
                  <c:v>118.13186813186815</c:v>
                </c:pt>
                <c:pt idx="8">
                  <c:v>127.35042735042735</c:v>
                </c:pt>
                <c:pt idx="9">
                  <c:v>137.6</c:v>
                </c:pt>
                <c:pt idx="10">
                  <c:v>155.64935064935065</c:v>
                </c:pt>
                <c:pt idx="11">
                  <c:v>161.08108108108107</c:v>
                </c:pt>
                <c:pt idx="12">
                  <c:v>166.11111111111111</c:v>
                </c:pt>
                <c:pt idx="13">
                  <c:v>174.72527472527474</c:v>
                </c:pt>
                <c:pt idx="14">
                  <c:v>199.33333333333334</c:v>
                </c:pt>
                <c:pt idx="15">
                  <c:v>209.41828254847647</c:v>
                </c:pt>
                <c:pt idx="16">
                  <c:v>212.71146864313585</c:v>
                </c:pt>
                <c:pt idx="17">
                  <c:v>213.67521367521368</c:v>
                </c:pt>
                <c:pt idx="18">
                  <c:v>215.27777777777774</c:v>
                </c:pt>
                <c:pt idx="19">
                  <c:v>225.49019607843135</c:v>
                </c:pt>
                <c:pt idx="20">
                  <c:v>249.44444444444443</c:v>
                </c:pt>
                <c:pt idx="21">
                  <c:v>261.71874999999994</c:v>
                </c:pt>
                <c:pt idx="22">
                  <c:v>268</c:v>
                </c:pt>
                <c:pt idx="23">
                  <c:v>272</c:v>
                </c:pt>
                <c:pt idx="24">
                  <c:v>272.27272727272725</c:v>
                </c:pt>
                <c:pt idx="25">
                  <c:v>283.43195266272187</c:v>
                </c:pt>
                <c:pt idx="26">
                  <c:v>287.56756756756755</c:v>
                </c:pt>
                <c:pt idx="27">
                  <c:v>299.33333333333331</c:v>
                </c:pt>
                <c:pt idx="28">
                  <c:v>324</c:v>
                </c:pt>
                <c:pt idx="29">
                  <c:v>328.28947368421052</c:v>
                </c:pt>
                <c:pt idx="30">
                  <c:v>365.27777777777771</c:v>
                </c:pt>
                <c:pt idx="31">
                  <c:v>366.66666666666669</c:v>
                </c:pt>
                <c:pt idx="32">
                  <c:v>368.18181818181813</c:v>
                </c:pt>
                <c:pt idx="33">
                  <c:v>371.92982456140356</c:v>
                </c:pt>
                <c:pt idx="34">
                  <c:v>388.33333333333331</c:v>
                </c:pt>
                <c:pt idx="35">
                  <c:v>388.88888888888886</c:v>
                </c:pt>
                <c:pt idx="36">
                  <c:v>412.5</c:v>
                </c:pt>
                <c:pt idx="37">
                  <c:v>418.80341880341882</c:v>
                </c:pt>
                <c:pt idx="38">
                  <c:v>434.39583333333326</c:v>
                </c:pt>
                <c:pt idx="39">
                  <c:v>443.74999999999994</c:v>
                </c:pt>
                <c:pt idx="40">
                  <c:v>458.33333333333337</c:v>
                </c:pt>
                <c:pt idx="41">
                  <c:v>458.33333333333337</c:v>
                </c:pt>
                <c:pt idx="42">
                  <c:v>486.11111111111103</c:v>
                </c:pt>
                <c:pt idx="43">
                  <c:v>511.47916666666669</c:v>
                </c:pt>
                <c:pt idx="44">
                  <c:v>554.16666666666663</c:v>
                </c:pt>
                <c:pt idx="45">
                  <c:v>774.16666666666663</c:v>
                </c:pt>
                <c:pt idx="46">
                  <c:v>877.16959064327489</c:v>
                </c:pt>
                <c:pt idx="47">
                  <c:v>915.16111111111104</c:v>
                </c:pt>
                <c:pt idx="48">
                  <c:v>1010.5069444444445</c:v>
                </c:pt>
                <c:pt idx="49">
                  <c:v>1119.4861111111109</c:v>
                </c:pt>
                <c:pt idx="50">
                  <c:v>1197.3402777777776</c:v>
                </c:pt>
                <c:pt idx="51">
                  <c:v>1197.3402777777776</c:v>
                </c:pt>
                <c:pt idx="52">
                  <c:v>1206.6587301587301</c:v>
                </c:pt>
              </c:numCache>
            </c:numRef>
          </c:xVal>
          <c:yVal>
            <c:numRef>
              <c:f>'Dining table'!$K$3:$K$55</c:f>
              <c:numCache>
                <c:formatCode>General</c:formatCode>
                <c:ptCount val="53"/>
                <c:pt idx="0">
                  <c:v>22.808683853459971</c:v>
                </c:pt>
                <c:pt idx="1">
                  <c:v>23.167999999999999</c:v>
                </c:pt>
                <c:pt idx="2">
                  <c:v>17.333333333333336</c:v>
                </c:pt>
                <c:pt idx="3">
                  <c:v>22.30769230769231</c:v>
                </c:pt>
                <c:pt idx="4">
                  <c:v>19.45945945945946</c:v>
                </c:pt>
                <c:pt idx="5">
                  <c:v>19.883040935672515</c:v>
                </c:pt>
                <c:pt idx="6">
                  <c:v>19.331195602382042</c:v>
                </c:pt>
                <c:pt idx="7">
                  <c:v>24.542124542124547</c:v>
                </c:pt>
                <c:pt idx="8">
                  <c:v>22.256410256410255</c:v>
                </c:pt>
                <c:pt idx="9">
                  <c:v>29.813333333333333</c:v>
                </c:pt>
                <c:pt idx="10">
                  <c:v>20.779220779220779</c:v>
                </c:pt>
                <c:pt idx="11">
                  <c:v>27.545945945945945</c:v>
                </c:pt>
                <c:pt idx="12">
                  <c:v>19.444444444444443</c:v>
                </c:pt>
                <c:pt idx="13">
                  <c:v>30.384615384615387</c:v>
                </c:pt>
                <c:pt idx="14">
                  <c:v>19</c:v>
                </c:pt>
                <c:pt idx="15">
                  <c:v>25.096952908587255</c:v>
                </c:pt>
                <c:pt idx="16">
                  <c:v>22.295536373359848</c:v>
                </c:pt>
                <c:pt idx="17">
                  <c:v>29.82905982905983</c:v>
                </c:pt>
                <c:pt idx="18">
                  <c:v>39.737654320987644</c:v>
                </c:pt>
                <c:pt idx="19">
                  <c:v>31.606334841628961</c:v>
                </c:pt>
                <c:pt idx="20">
                  <c:v>32.777777777777779</c:v>
                </c:pt>
                <c:pt idx="21">
                  <c:v>29.687499999999993</c:v>
                </c:pt>
                <c:pt idx="22">
                  <c:v>52.5</c:v>
                </c:pt>
                <c:pt idx="23">
                  <c:v>49.5</c:v>
                </c:pt>
                <c:pt idx="24">
                  <c:v>39.259090909090908</c:v>
                </c:pt>
                <c:pt idx="25">
                  <c:v>33.491124260355029</c:v>
                </c:pt>
                <c:pt idx="26">
                  <c:v>14.990990990990989</c:v>
                </c:pt>
                <c:pt idx="27">
                  <c:v>29</c:v>
                </c:pt>
                <c:pt idx="28">
                  <c:v>30.5</c:v>
                </c:pt>
                <c:pt idx="29">
                  <c:v>24.217105263157897</c:v>
                </c:pt>
                <c:pt idx="30">
                  <c:v>30.555555555555554</c:v>
                </c:pt>
                <c:pt idx="31">
                  <c:v>39.666666666666664</c:v>
                </c:pt>
                <c:pt idx="32">
                  <c:v>39.141414141414138</c:v>
                </c:pt>
                <c:pt idx="33">
                  <c:v>9.2105263157894743</c:v>
                </c:pt>
                <c:pt idx="34">
                  <c:v>27.111111111111107</c:v>
                </c:pt>
                <c:pt idx="35">
                  <c:v>54.938271604938265</c:v>
                </c:pt>
                <c:pt idx="36">
                  <c:v>42.083333333333336</c:v>
                </c:pt>
                <c:pt idx="37">
                  <c:v>45.940170940170944</c:v>
                </c:pt>
                <c:pt idx="38">
                  <c:v>48.819444444444436</c:v>
                </c:pt>
                <c:pt idx="39">
                  <c:v>50.694444444444436</c:v>
                </c:pt>
                <c:pt idx="40">
                  <c:v>42.083333333333336</c:v>
                </c:pt>
                <c:pt idx="41">
                  <c:v>52.250000000000007</c:v>
                </c:pt>
                <c:pt idx="42">
                  <c:v>36.80555555555555</c:v>
                </c:pt>
                <c:pt idx="43">
                  <c:v>70.3125</c:v>
                </c:pt>
                <c:pt idx="44">
                  <c:v>29.374999999999993</c:v>
                </c:pt>
                <c:pt idx="45">
                  <c:v>73.888888888888886</c:v>
                </c:pt>
                <c:pt idx="46">
                  <c:v>69.356725146198826</c:v>
                </c:pt>
                <c:pt idx="47">
                  <c:v>73.888888888888886</c:v>
                </c:pt>
                <c:pt idx="48">
                  <c:v>71.527777777777771</c:v>
                </c:pt>
                <c:pt idx="49">
                  <c:v>82.9861111111111</c:v>
                </c:pt>
                <c:pt idx="50">
                  <c:v>82.9861111111111</c:v>
                </c:pt>
                <c:pt idx="51">
                  <c:v>103.05555555555554</c:v>
                </c:pt>
                <c:pt idx="52">
                  <c:v>85.238095238095241</c:v>
                </c:pt>
              </c:numCache>
            </c:numRef>
          </c:yVal>
          <c:smooth val="0"/>
          <c:extLst>
            <c:ext xmlns:c16="http://schemas.microsoft.com/office/drawing/2014/chart" uri="{C3380CC4-5D6E-409C-BE32-E72D297353CC}">
              <c16:uniqueId val="{00000000-31E5-4D8C-AE82-1C00E8ED655A}"/>
            </c:ext>
          </c:extLst>
        </c:ser>
        <c:dLbls>
          <c:showLegendKey val="0"/>
          <c:showVal val="0"/>
          <c:showCatName val="0"/>
          <c:showSerName val="0"/>
          <c:showPercent val="0"/>
          <c:showBubbleSize val="0"/>
        </c:dLbls>
        <c:axId val="1805037456"/>
        <c:axId val="1805021648"/>
      </c:scatterChart>
      <c:valAx>
        <c:axId val="18050374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m2</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05021648"/>
        <c:crosses val="autoZero"/>
        <c:crossBetween val="midCat"/>
      </c:valAx>
      <c:valAx>
        <c:axId val="1805021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kg/ m2</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050374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Chair</a:t>
            </a:r>
            <a:r>
              <a:rPr lang="en-GB" baseline="0"/>
              <a:t> weight relative to price</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Chair!$E$3:$E$70</c:f>
              <c:numCache>
                <c:formatCode>General</c:formatCode>
                <c:ptCount val="68"/>
                <c:pt idx="0">
                  <c:v>10</c:v>
                </c:pt>
                <c:pt idx="1">
                  <c:v>20</c:v>
                </c:pt>
                <c:pt idx="2">
                  <c:v>20</c:v>
                </c:pt>
                <c:pt idx="3">
                  <c:v>20</c:v>
                </c:pt>
                <c:pt idx="4">
                  <c:v>22.5</c:v>
                </c:pt>
                <c:pt idx="5">
                  <c:v>25</c:v>
                </c:pt>
                <c:pt idx="6">
                  <c:v>25</c:v>
                </c:pt>
                <c:pt idx="7">
                  <c:v>35</c:v>
                </c:pt>
                <c:pt idx="8">
                  <c:v>35</c:v>
                </c:pt>
                <c:pt idx="9">
                  <c:v>38</c:v>
                </c:pt>
                <c:pt idx="10">
                  <c:v>40</c:v>
                </c:pt>
                <c:pt idx="11">
                  <c:v>40</c:v>
                </c:pt>
                <c:pt idx="12">
                  <c:v>40</c:v>
                </c:pt>
                <c:pt idx="13">
                  <c:v>40</c:v>
                </c:pt>
                <c:pt idx="14">
                  <c:v>40</c:v>
                </c:pt>
                <c:pt idx="15">
                  <c:v>40</c:v>
                </c:pt>
                <c:pt idx="16">
                  <c:v>42</c:v>
                </c:pt>
                <c:pt idx="17">
                  <c:v>45</c:v>
                </c:pt>
                <c:pt idx="18">
                  <c:v>45</c:v>
                </c:pt>
                <c:pt idx="19">
                  <c:v>47</c:v>
                </c:pt>
                <c:pt idx="20">
                  <c:v>49</c:v>
                </c:pt>
                <c:pt idx="21">
                  <c:v>50</c:v>
                </c:pt>
                <c:pt idx="22">
                  <c:v>50</c:v>
                </c:pt>
                <c:pt idx="23">
                  <c:v>50</c:v>
                </c:pt>
                <c:pt idx="24">
                  <c:v>51</c:v>
                </c:pt>
                <c:pt idx="25">
                  <c:v>60</c:v>
                </c:pt>
                <c:pt idx="26">
                  <c:v>60</c:v>
                </c:pt>
                <c:pt idx="27">
                  <c:v>60</c:v>
                </c:pt>
                <c:pt idx="28">
                  <c:v>60</c:v>
                </c:pt>
                <c:pt idx="29">
                  <c:v>60</c:v>
                </c:pt>
                <c:pt idx="30">
                  <c:v>60</c:v>
                </c:pt>
                <c:pt idx="31">
                  <c:v>60</c:v>
                </c:pt>
                <c:pt idx="32">
                  <c:v>65</c:v>
                </c:pt>
                <c:pt idx="33">
                  <c:v>69</c:v>
                </c:pt>
                <c:pt idx="34">
                  <c:v>69</c:v>
                </c:pt>
                <c:pt idx="35">
                  <c:v>70</c:v>
                </c:pt>
                <c:pt idx="36">
                  <c:v>70</c:v>
                </c:pt>
                <c:pt idx="37">
                  <c:v>70</c:v>
                </c:pt>
                <c:pt idx="38">
                  <c:v>70</c:v>
                </c:pt>
                <c:pt idx="39">
                  <c:v>70</c:v>
                </c:pt>
                <c:pt idx="40">
                  <c:v>70</c:v>
                </c:pt>
                <c:pt idx="41">
                  <c:v>70</c:v>
                </c:pt>
                <c:pt idx="42">
                  <c:v>71</c:v>
                </c:pt>
                <c:pt idx="43">
                  <c:v>71</c:v>
                </c:pt>
                <c:pt idx="44">
                  <c:v>80</c:v>
                </c:pt>
                <c:pt idx="45">
                  <c:v>93</c:v>
                </c:pt>
                <c:pt idx="46">
                  <c:v>97</c:v>
                </c:pt>
                <c:pt idx="47">
                  <c:v>98.64</c:v>
                </c:pt>
                <c:pt idx="48">
                  <c:v>100</c:v>
                </c:pt>
                <c:pt idx="49">
                  <c:v>100</c:v>
                </c:pt>
                <c:pt idx="50">
                  <c:v>103.11</c:v>
                </c:pt>
                <c:pt idx="51">
                  <c:v>104</c:v>
                </c:pt>
                <c:pt idx="52">
                  <c:v>104</c:v>
                </c:pt>
                <c:pt idx="53">
                  <c:v>118.81</c:v>
                </c:pt>
                <c:pt idx="54">
                  <c:v>119</c:v>
                </c:pt>
                <c:pt idx="55">
                  <c:v>119</c:v>
                </c:pt>
                <c:pt idx="56">
                  <c:v>128.69999999999999</c:v>
                </c:pt>
                <c:pt idx="57">
                  <c:v>129</c:v>
                </c:pt>
                <c:pt idx="58">
                  <c:v>129</c:v>
                </c:pt>
                <c:pt idx="59">
                  <c:v>138</c:v>
                </c:pt>
                <c:pt idx="60">
                  <c:v>139</c:v>
                </c:pt>
                <c:pt idx="61">
                  <c:v>139</c:v>
                </c:pt>
                <c:pt idx="62">
                  <c:v>139</c:v>
                </c:pt>
                <c:pt idx="63">
                  <c:v>149</c:v>
                </c:pt>
                <c:pt idx="64">
                  <c:v>169</c:v>
                </c:pt>
                <c:pt idx="65">
                  <c:v>179</c:v>
                </c:pt>
                <c:pt idx="66">
                  <c:v>230</c:v>
                </c:pt>
                <c:pt idx="67">
                  <c:v>249</c:v>
                </c:pt>
              </c:numCache>
            </c:numRef>
          </c:xVal>
          <c:yVal>
            <c:numRef>
              <c:f>Chair!$F$3:$F$70</c:f>
              <c:numCache>
                <c:formatCode>General</c:formatCode>
                <c:ptCount val="68"/>
                <c:pt idx="0">
                  <c:v>2.92</c:v>
                </c:pt>
                <c:pt idx="1">
                  <c:v>4.9000000000000004</c:v>
                </c:pt>
                <c:pt idx="2">
                  <c:v>4.17</c:v>
                </c:pt>
                <c:pt idx="3">
                  <c:v>5</c:v>
                </c:pt>
                <c:pt idx="4">
                  <c:v>11</c:v>
                </c:pt>
                <c:pt idx="5">
                  <c:v>4.5599999999999996</c:v>
                </c:pt>
                <c:pt idx="6">
                  <c:v>5.65</c:v>
                </c:pt>
                <c:pt idx="7">
                  <c:v>7</c:v>
                </c:pt>
                <c:pt idx="8">
                  <c:v>4.5599999999999996</c:v>
                </c:pt>
                <c:pt idx="9">
                  <c:v>4.8</c:v>
                </c:pt>
                <c:pt idx="10">
                  <c:v>10</c:v>
                </c:pt>
                <c:pt idx="11">
                  <c:v>4.8</c:v>
                </c:pt>
                <c:pt idx="12">
                  <c:v>4.1500000000000004</c:v>
                </c:pt>
                <c:pt idx="13">
                  <c:v>1.95</c:v>
                </c:pt>
                <c:pt idx="14">
                  <c:v>6.17</c:v>
                </c:pt>
                <c:pt idx="15">
                  <c:v>6.4</c:v>
                </c:pt>
                <c:pt idx="16">
                  <c:v>6</c:v>
                </c:pt>
                <c:pt idx="17">
                  <c:v>6</c:v>
                </c:pt>
                <c:pt idx="18">
                  <c:v>4.8599999999999994</c:v>
                </c:pt>
                <c:pt idx="19">
                  <c:v>5.8</c:v>
                </c:pt>
                <c:pt idx="20">
                  <c:v>2.5499999999999998</c:v>
                </c:pt>
                <c:pt idx="21">
                  <c:v>6.62</c:v>
                </c:pt>
                <c:pt idx="22">
                  <c:v>8.15</c:v>
                </c:pt>
                <c:pt idx="23">
                  <c:v>5</c:v>
                </c:pt>
                <c:pt idx="24">
                  <c:v>5.9</c:v>
                </c:pt>
                <c:pt idx="25">
                  <c:v>5.77</c:v>
                </c:pt>
                <c:pt idx="26">
                  <c:v>6</c:v>
                </c:pt>
                <c:pt idx="27">
                  <c:v>8.370000000000001</c:v>
                </c:pt>
                <c:pt idx="28">
                  <c:v>8.02</c:v>
                </c:pt>
                <c:pt idx="29">
                  <c:v>4.5</c:v>
                </c:pt>
                <c:pt idx="30">
                  <c:v>3</c:v>
                </c:pt>
                <c:pt idx="31">
                  <c:v>7.24</c:v>
                </c:pt>
                <c:pt idx="32">
                  <c:v>6</c:v>
                </c:pt>
                <c:pt idx="33">
                  <c:v>5</c:v>
                </c:pt>
                <c:pt idx="34">
                  <c:v>5.8</c:v>
                </c:pt>
                <c:pt idx="35">
                  <c:v>5.76</c:v>
                </c:pt>
                <c:pt idx="36">
                  <c:v>6.18</c:v>
                </c:pt>
                <c:pt idx="37">
                  <c:v>6</c:v>
                </c:pt>
                <c:pt idx="38">
                  <c:v>6.2</c:v>
                </c:pt>
                <c:pt idx="39">
                  <c:v>6.43</c:v>
                </c:pt>
                <c:pt idx="40">
                  <c:v>6.5</c:v>
                </c:pt>
                <c:pt idx="41">
                  <c:v>4.2</c:v>
                </c:pt>
                <c:pt idx="42">
                  <c:v>6.5</c:v>
                </c:pt>
                <c:pt idx="43">
                  <c:v>6.5</c:v>
                </c:pt>
                <c:pt idx="44">
                  <c:v>4.3899999999999997</c:v>
                </c:pt>
                <c:pt idx="45">
                  <c:v>8.8000000000000007</c:v>
                </c:pt>
                <c:pt idx="46">
                  <c:v>7.8</c:v>
                </c:pt>
                <c:pt idx="47">
                  <c:v>10.125</c:v>
                </c:pt>
                <c:pt idx="48">
                  <c:v>6.3</c:v>
                </c:pt>
                <c:pt idx="49">
                  <c:v>8</c:v>
                </c:pt>
                <c:pt idx="50">
                  <c:v>9.3000000000000007</c:v>
                </c:pt>
                <c:pt idx="51">
                  <c:v>10.7</c:v>
                </c:pt>
                <c:pt idx="52">
                  <c:v>9.9</c:v>
                </c:pt>
                <c:pt idx="53">
                  <c:v>10</c:v>
                </c:pt>
                <c:pt idx="54">
                  <c:v>6.75</c:v>
                </c:pt>
                <c:pt idx="55">
                  <c:v>10</c:v>
                </c:pt>
                <c:pt idx="56">
                  <c:v>7.5</c:v>
                </c:pt>
                <c:pt idx="57">
                  <c:v>7.73</c:v>
                </c:pt>
                <c:pt idx="58">
                  <c:v>11.34</c:v>
                </c:pt>
                <c:pt idx="59">
                  <c:v>7</c:v>
                </c:pt>
                <c:pt idx="60">
                  <c:v>7.2</c:v>
                </c:pt>
                <c:pt idx="61">
                  <c:v>8.6999999999999993</c:v>
                </c:pt>
                <c:pt idx="62">
                  <c:v>11.8</c:v>
                </c:pt>
                <c:pt idx="63">
                  <c:v>10.06</c:v>
                </c:pt>
                <c:pt idx="64">
                  <c:v>10.5</c:v>
                </c:pt>
                <c:pt idx="65">
                  <c:v>14.4</c:v>
                </c:pt>
                <c:pt idx="66">
                  <c:v>10.5</c:v>
                </c:pt>
                <c:pt idx="67">
                  <c:v>14.4</c:v>
                </c:pt>
              </c:numCache>
            </c:numRef>
          </c:yVal>
          <c:smooth val="0"/>
          <c:extLst>
            <c:ext xmlns:c16="http://schemas.microsoft.com/office/drawing/2014/chart" uri="{C3380CC4-5D6E-409C-BE32-E72D297353CC}">
              <c16:uniqueId val="{00000000-D204-4B47-85CE-8CD98C91A101}"/>
            </c:ext>
          </c:extLst>
        </c:ser>
        <c:dLbls>
          <c:showLegendKey val="0"/>
          <c:showVal val="0"/>
          <c:showCatName val="0"/>
          <c:showSerName val="0"/>
          <c:showPercent val="0"/>
          <c:showBubbleSize val="0"/>
        </c:dLbls>
        <c:axId val="1656322048"/>
        <c:axId val="1656318720"/>
      </c:scatterChart>
      <c:valAx>
        <c:axId val="16563220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unit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656318720"/>
        <c:crosses val="autoZero"/>
        <c:crossBetween val="midCat"/>
      </c:valAx>
      <c:valAx>
        <c:axId val="1656318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kg/ unit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6563220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(Double) bed weight relative to price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'(Double) bed'!$L$3:$L$62</c:f>
              <c:numCache>
                <c:formatCode>General</c:formatCode>
                <c:ptCount val="60"/>
                <c:pt idx="0">
                  <c:v>66.964285714285722</c:v>
                </c:pt>
                <c:pt idx="1">
                  <c:v>71.428571428571431</c:v>
                </c:pt>
                <c:pt idx="2">
                  <c:v>85</c:v>
                </c:pt>
                <c:pt idx="3">
                  <c:v>85</c:v>
                </c:pt>
                <c:pt idx="4">
                  <c:v>91.875</c:v>
                </c:pt>
                <c:pt idx="5">
                  <c:v>99.285714285714292</c:v>
                </c:pt>
                <c:pt idx="6">
                  <c:v>99.285714285714292</c:v>
                </c:pt>
                <c:pt idx="7">
                  <c:v>100.71428571428572</c:v>
                </c:pt>
                <c:pt idx="8">
                  <c:v>108.42857142857144</c:v>
                </c:pt>
                <c:pt idx="9">
                  <c:v>108.75</c:v>
                </c:pt>
                <c:pt idx="10">
                  <c:v>112.85714285714286</c:v>
                </c:pt>
                <c:pt idx="11">
                  <c:v>113.57142857142858</c:v>
                </c:pt>
                <c:pt idx="12">
                  <c:v>120.71428571428572</c:v>
                </c:pt>
                <c:pt idx="13">
                  <c:v>120.71428571428572</c:v>
                </c:pt>
                <c:pt idx="14">
                  <c:v>120.71428571428572</c:v>
                </c:pt>
                <c:pt idx="15">
                  <c:v>120.71428571428572</c:v>
                </c:pt>
                <c:pt idx="16">
                  <c:v>135</c:v>
                </c:pt>
                <c:pt idx="17">
                  <c:v>135</c:v>
                </c:pt>
                <c:pt idx="18">
                  <c:v>138.39285714285714</c:v>
                </c:pt>
                <c:pt idx="19">
                  <c:v>143.39285714285714</c:v>
                </c:pt>
                <c:pt idx="20">
                  <c:v>144.82142857142858</c:v>
                </c:pt>
                <c:pt idx="21">
                  <c:v>150.85714285714286</c:v>
                </c:pt>
                <c:pt idx="22">
                  <c:v>156.42857142857144</c:v>
                </c:pt>
                <c:pt idx="23">
                  <c:v>157.14285714285714</c:v>
                </c:pt>
                <c:pt idx="24">
                  <c:v>163.57142857142858</c:v>
                </c:pt>
                <c:pt idx="25">
                  <c:v>165.85714285714286</c:v>
                </c:pt>
                <c:pt idx="26">
                  <c:v>166.78571428571431</c:v>
                </c:pt>
                <c:pt idx="27">
                  <c:v>170.71428571428572</c:v>
                </c:pt>
                <c:pt idx="28">
                  <c:v>171.42857142857144</c:v>
                </c:pt>
                <c:pt idx="29">
                  <c:v>171.42857142857144</c:v>
                </c:pt>
                <c:pt idx="30">
                  <c:v>172.85714285714286</c:v>
                </c:pt>
                <c:pt idx="31">
                  <c:v>175</c:v>
                </c:pt>
                <c:pt idx="32">
                  <c:v>176.96428571428572</c:v>
                </c:pt>
                <c:pt idx="33">
                  <c:v>179.35714285714286</c:v>
                </c:pt>
                <c:pt idx="34">
                  <c:v>180</c:v>
                </c:pt>
                <c:pt idx="35">
                  <c:v>181.50000000000003</c:v>
                </c:pt>
                <c:pt idx="36">
                  <c:v>216.25</c:v>
                </c:pt>
                <c:pt idx="37">
                  <c:v>228.57142857142858</c:v>
                </c:pt>
                <c:pt idx="38">
                  <c:v>228.92857142857144</c:v>
                </c:pt>
                <c:pt idx="39">
                  <c:v>245.14285714285714</c:v>
                </c:pt>
                <c:pt idx="40">
                  <c:v>251.96428571428572</c:v>
                </c:pt>
                <c:pt idx="41">
                  <c:v>271.33333333333331</c:v>
                </c:pt>
                <c:pt idx="42">
                  <c:v>299.28571428571428</c:v>
                </c:pt>
                <c:pt idx="43">
                  <c:v>305.53571428571433</c:v>
                </c:pt>
                <c:pt idx="44">
                  <c:v>319.01785714285717</c:v>
                </c:pt>
                <c:pt idx="45">
                  <c:v>335.71428571428572</c:v>
                </c:pt>
                <c:pt idx="46">
                  <c:v>353.75</c:v>
                </c:pt>
                <c:pt idx="47">
                  <c:v>375</c:v>
                </c:pt>
                <c:pt idx="48">
                  <c:v>520.26785714285711</c:v>
                </c:pt>
                <c:pt idx="49">
                  <c:v>535</c:v>
                </c:pt>
                <c:pt idx="50">
                  <c:v>575.55555555555554</c:v>
                </c:pt>
                <c:pt idx="51">
                  <c:v>588.33333333333337</c:v>
                </c:pt>
                <c:pt idx="52">
                  <c:v>618.44444444444446</c:v>
                </c:pt>
                <c:pt idx="53">
                  <c:v>631.25</c:v>
                </c:pt>
                <c:pt idx="54">
                  <c:v>655.625</c:v>
                </c:pt>
                <c:pt idx="55">
                  <c:v>661.25</c:v>
                </c:pt>
                <c:pt idx="56">
                  <c:v>761.44444444444434</c:v>
                </c:pt>
                <c:pt idx="57">
                  <c:v>832.22222222222217</c:v>
                </c:pt>
                <c:pt idx="58">
                  <c:v>843.125</c:v>
                </c:pt>
                <c:pt idx="59">
                  <c:v>926.11111111111109</c:v>
                </c:pt>
              </c:numCache>
            </c:numRef>
          </c:xVal>
          <c:yVal>
            <c:numRef>
              <c:f>'(Double) bed'!$M$3:$M$62</c:f>
              <c:numCache>
                <c:formatCode>General</c:formatCode>
                <c:ptCount val="60"/>
                <c:pt idx="0">
                  <c:v>19.153571428571432</c:v>
                </c:pt>
                <c:pt idx="1">
                  <c:v>23.928571428571431</c:v>
                </c:pt>
                <c:pt idx="2">
                  <c:v>33.221428571428575</c:v>
                </c:pt>
                <c:pt idx="3">
                  <c:v>0</c:v>
                </c:pt>
                <c:pt idx="4">
                  <c:v>25</c:v>
                </c:pt>
                <c:pt idx="5">
                  <c:v>29.971428571428575</c:v>
                </c:pt>
                <c:pt idx="6">
                  <c:v>40.785714285714285</c:v>
                </c:pt>
                <c:pt idx="7">
                  <c:v>20</c:v>
                </c:pt>
                <c:pt idx="8">
                  <c:v>29.285714285714288</c:v>
                </c:pt>
                <c:pt idx="9">
                  <c:v>45.374999999999993</c:v>
                </c:pt>
                <c:pt idx="10">
                  <c:v>52</c:v>
                </c:pt>
                <c:pt idx="11">
                  <c:v>31.407142857142858</c:v>
                </c:pt>
                <c:pt idx="12">
                  <c:v>50</c:v>
                </c:pt>
                <c:pt idx="13">
                  <c:v>21.428571428571431</c:v>
                </c:pt>
                <c:pt idx="14">
                  <c:v>39.878571428571426</c:v>
                </c:pt>
                <c:pt idx="15">
                  <c:v>33.18571428571429</c:v>
                </c:pt>
                <c:pt idx="16">
                  <c:v>36.628571428571426</c:v>
                </c:pt>
                <c:pt idx="17">
                  <c:v>47.442857142857136</c:v>
                </c:pt>
                <c:pt idx="18">
                  <c:v>25.625</c:v>
                </c:pt>
                <c:pt idx="19">
                  <c:v>51.517857142857146</c:v>
                </c:pt>
                <c:pt idx="20">
                  <c:v>21.339285714285715</c:v>
                </c:pt>
                <c:pt idx="21">
                  <c:v>35.714285714285715</c:v>
                </c:pt>
                <c:pt idx="22">
                  <c:v>34.328571428571429</c:v>
                </c:pt>
                <c:pt idx="23">
                  <c:v>39</c:v>
                </c:pt>
                <c:pt idx="24">
                  <c:v>37.978571428571435</c:v>
                </c:pt>
                <c:pt idx="25">
                  <c:v>28.571428571428573</c:v>
                </c:pt>
                <c:pt idx="26">
                  <c:v>54.285714285714292</c:v>
                </c:pt>
                <c:pt idx="27">
                  <c:v>37.771428571428572</c:v>
                </c:pt>
                <c:pt idx="28">
                  <c:v>45.571428571428569</c:v>
                </c:pt>
                <c:pt idx="29">
                  <c:v>47.571428571428569</c:v>
                </c:pt>
                <c:pt idx="30">
                  <c:v>23.571428571428573</c:v>
                </c:pt>
                <c:pt idx="31">
                  <c:v>34.285714285714285</c:v>
                </c:pt>
                <c:pt idx="32">
                  <c:v>57.767857142857146</c:v>
                </c:pt>
                <c:pt idx="33">
                  <c:v>48.142857142857153</c:v>
                </c:pt>
                <c:pt idx="34">
                  <c:v>50.285714285714292</c:v>
                </c:pt>
                <c:pt idx="35">
                  <c:v>37.916666666666671</c:v>
                </c:pt>
                <c:pt idx="36">
                  <c:v>31.339285714285715</c:v>
                </c:pt>
                <c:pt idx="37">
                  <c:v>44.285714285714292</c:v>
                </c:pt>
                <c:pt idx="38">
                  <c:v>40.714285714285715</c:v>
                </c:pt>
                <c:pt idx="39">
                  <c:v>40</c:v>
                </c:pt>
                <c:pt idx="40">
                  <c:v>19.910714285714288</c:v>
                </c:pt>
                <c:pt idx="41">
                  <c:v>51.666666666666664</c:v>
                </c:pt>
                <c:pt idx="42">
                  <c:v>42.157142857142858</c:v>
                </c:pt>
                <c:pt idx="43">
                  <c:v>57.053571428571438</c:v>
                </c:pt>
                <c:pt idx="44">
                  <c:v>30.655357142857149</c:v>
                </c:pt>
                <c:pt idx="45">
                  <c:v>71.907142857142858</c:v>
                </c:pt>
                <c:pt idx="46">
                  <c:v>34</c:v>
                </c:pt>
                <c:pt idx="47">
                  <c:v>71.587499999999991</c:v>
                </c:pt>
                <c:pt idx="48">
                  <c:v>50.267857142857146</c:v>
                </c:pt>
                <c:pt idx="49">
                  <c:v>84.600000000000009</c:v>
                </c:pt>
                <c:pt idx="50">
                  <c:v>55</c:v>
                </c:pt>
                <c:pt idx="51">
                  <c:v>47.777777777777779</c:v>
                </c:pt>
                <c:pt idx="52">
                  <c:v>91.666666666666671</c:v>
                </c:pt>
                <c:pt idx="53">
                  <c:v>49.375</c:v>
                </c:pt>
                <c:pt idx="54">
                  <c:v>104.88124999999998</c:v>
                </c:pt>
                <c:pt idx="55">
                  <c:v>105.66250000000001</c:v>
                </c:pt>
                <c:pt idx="56">
                  <c:v>93.888888888888886</c:v>
                </c:pt>
                <c:pt idx="57">
                  <c:v>89.62222222222222</c:v>
                </c:pt>
                <c:pt idx="58">
                  <c:v>109.44999999999997</c:v>
                </c:pt>
                <c:pt idx="59">
                  <c:v>99.216666666666669</c:v>
                </c:pt>
              </c:numCache>
            </c:numRef>
          </c:yVal>
          <c:smooth val="0"/>
          <c:extLst>
            <c:ext xmlns:c16="http://schemas.microsoft.com/office/drawing/2014/chart" uri="{C3380CC4-5D6E-409C-BE32-E72D297353CC}">
              <c16:uniqueId val="{00000000-3741-4A04-A49A-9387F1164B6E}"/>
            </c:ext>
          </c:extLst>
        </c:ser>
        <c:dLbls>
          <c:showLegendKey val="0"/>
          <c:showVal val="0"/>
          <c:showCatName val="0"/>
          <c:showSerName val="0"/>
          <c:showPercent val="0"/>
          <c:showBubbleSize val="0"/>
        </c:dLbls>
        <c:axId val="1684056784"/>
        <c:axId val="1684057616"/>
      </c:scatterChart>
      <c:valAx>
        <c:axId val="16840567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m2</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684057616"/>
        <c:crosses val="autoZero"/>
        <c:crossBetween val="midCat"/>
      </c:valAx>
      <c:valAx>
        <c:axId val="16840576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kg/ m2</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6840567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97156</xdr:colOff>
      <xdr:row>0</xdr:row>
      <xdr:rowOff>38101</xdr:rowOff>
    </xdr:from>
    <xdr:to>
      <xdr:col>7</xdr:col>
      <xdr:colOff>129541</xdr:colOff>
      <xdr:row>43</xdr:row>
      <xdr:rowOff>85725</xdr:rowOff>
    </xdr:to>
    <xdr:sp macro="" textlink="">
      <xdr:nvSpPr>
        <xdr:cNvPr id="2" name="TextBox 1">
          <a:extLst>
            <a:ext uri="{FF2B5EF4-FFF2-40B4-BE49-F238E27FC236}">
              <a16:creationId xmlns:a16="http://schemas.microsoft.com/office/drawing/2014/main" id="{CEAF2BBF-548F-40CE-8E30-D28D4B13E6A0}"/>
            </a:ext>
          </a:extLst>
        </xdr:cNvPr>
        <xdr:cNvSpPr txBox="1"/>
      </xdr:nvSpPr>
      <xdr:spPr>
        <a:xfrm>
          <a:off x="97156" y="38101"/>
          <a:ext cx="4299585" cy="78295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Calculation weight factor</a:t>
          </a:r>
        </a:p>
        <a:p>
          <a:r>
            <a:rPr lang="en-GB" sz="1100"/>
            <a:t>Supplementary material: IMAGE</a:t>
          </a:r>
          <a:r>
            <a:rPr lang="en-GB" sz="1100" baseline="0"/>
            <a:t> Furniture graduation project</a:t>
          </a:r>
        </a:p>
        <a:p>
          <a:endParaRPr lang="en-GB" sz="1100"/>
        </a:p>
        <a:p>
          <a:r>
            <a:rPr lang="en-GB" sz="1100" b="1"/>
            <a:t>Author: (Boris van</a:t>
          </a:r>
          <a:r>
            <a:rPr lang="en-GB" sz="1100" b="1" baseline="0"/>
            <a:t> Beijnum, 2021)</a:t>
          </a:r>
          <a:endParaRPr lang="en-GB" sz="1100" b="1"/>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Sample data is gathered by: (Luja von Köckritz, 2020)</a:t>
          </a:r>
          <a:endParaRPr lang="en-NL" b="1">
            <a:effectLst/>
          </a:endParaRPr>
        </a:p>
        <a:p>
          <a:endParaRPr lang="en-GB" sz="1100"/>
        </a:p>
        <a:p>
          <a:r>
            <a:rPr lang="en-GB" sz="1100"/>
            <a:t>This Excel workbook shows the calculation of the weight</a:t>
          </a:r>
          <a:r>
            <a:rPr lang="en-GB" sz="1100" baseline="0"/>
            <a:t> factor used in the Industrial Ecology graduation project on the IMAGE integrated assessment model and the furniture industry. The 'weight factor' shows the relation between the price and weight of furniture products and </a:t>
          </a:r>
          <a:r>
            <a:rPr lang="en-GB" sz="1100" baseline="0">
              <a:solidFill>
                <a:schemeClr val="dk1"/>
              </a:solidFill>
              <a:effectLst/>
              <a:latin typeface="+mn-lt"/>
              <a:ea typeface="+mn-ea"/>
              <a:cs typeface="+mn-cs"/>
            </a:rPr>
            <a:t>is defined as the weight of a furniture product per price quintile, relative to the average weight. </a:t>
          </a:r>
          <a:endParaRPr lang="en-GB" sz="1100" baseline="0"/>
        </a:p>
        <a:p>
          <a:endParaRPr lang="en-GB" sz="1100" baseline="0"/>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weight factor is determined based on sample data for three product categories: (Dining) table (n=53), Chair (n=68) and (Double) bed (n=60). The sample data is gathered through preliminary product research by (Luja von Köckritz, 2020) and is gathered</a:t>
          </a:r>
          <a:r>
            <a:rPr lang="en-GB" sz="1100" baseline="0">
              <a:solidFill>
                <a:schemeClr val="dk1"/>
              </a:solidFill>
              <a:effectLst/>
              <a:latin typeface="+mn-lt"/>
              <a:ea typeface="+mn-ea"/>
              <a:cs typeface="+mn-cs"/>
            </a:rPr>
            <a:t> primarily from furniture sellers (e.g. IKEA, Meubis, Jysk, Karwei)</a:t>
          </a:r>
          <a:r>
            <a:rPr lang="en-GB" sz="1100">
              <a:solidFill>
                <a:schemeClr val="dk1"/>
              </a:solidFill>
              <a:effectLst/>
              <a:latin typeface="+mn-lt"/>
              <a:ea typeface="+mn-ea"/>
              <a:cs typeface="+mn-cs"/>
            </a:rPr>
            <a:t>. For the (Double) bed category, ‘bed slats’ are included for products wherever they are not provided. Bed slats price and weight per functional units are based on two products (n=2)</a:t>
          </a:r>
          <a:r>
            <a:rPr lang="en-GB" sz="1100" baseline="0">
              <a:solidFill>
                <a:schemeClr val="dk1"/>
              </a:solidFill>
              <a:effectLst/>
              <a:latin typeface="+mn-lt"/>
              <a:ea typeface="+mn-ea"/>
              <a:cs typeface="+mn-cs"/>
            </a:rPr>
            <a:t> of which the data is contributed by (Boris van Beijnum, 2021)</a:t>
          </a:r>
          <a:r>
            <a:rPr lang="en-GB" sz="1100">
              <a:solidFill>
                <a:schemeClr val="dk1"/>
              </a:solidFill>
              <a:effectLst/>
              <a:latin typeface="+mn-lt"/>
              <a:ea typeface="+mn-ea"/>
              <a:cs typeface="+mn-cs"/>
            </a:rPr>
            <a:t>. Data is ordered according to the product price</a:t>
          </a:r>
          <a:r>
            <a:rPr lang="en-GB" sz="1100" baseline="0">
              <a:solidFill>
                <a:schemeClr val="dk1"/>
              </a:solidFill>
              <a:effectLst/>
              <a:latin typeface="+mn-lt"/>
              <a:ea typeface="+mn-ea"/>
              <a:cs typeface="+mn-cs"/>
            </a:rPr>
            <a:t> per functional unit</a:t>
          </a:r>
          <a:r>
            <a:rPr lang="en-GB" sz="1100">
              <a:solidFill>
                <a:schemeClr val="dk1"/>
              </a:solidFill>
              <a:effectLst/>
              <a:latin typeface="+mn-lt"/>
              <a:ea typeface="+mn-ea"/>
              <a:cs typeface="+mn-cs"/>
            </a:rPr>
            <a:t>. The functional units</a:t>
          </a:r>
          <a:r>
            <a:rPr lang="en-GB" sz="1100" baseline="0">
              <a:solidFill>
                <a:schemeClr val="dk1"/>
              </a:solidFill>
              <a:effectLst/>
              <a:latin typeface="+mn-lt"/>
              <a:ea typeface="+mn-ea"/>
              <a:cs typeface="+mn-cs"/>
            </a:rPr>
            <a:t> are Dining table (1m2 of surface), Chair (1 unit), Double bed (1m2 of surface). </a:t>
          </a:r>
          <a:r>
            <a:rPr lang="en-GB" sz="1100">
              <a:solidFill>
                <a:schemeClr val="dk1"/>
              </a:solidFill>
              <a:effectLst/>
              <a:latin typeface="+mn-lt"/>
              <a:ea typeface="+mn-ea"/>
              <a:cs typeface="+mn-cs"/>
            </a:rPr>
            <a:t>Four cut-point values (quintile cut-off points) of price per functional unit are identified, dividing the sample into five groups equally represented by 20% of products each. If the sample is not divisible by five, the first four price quintiles are filled with an equal share of the sample and the difference is compensated in the fifth quintile with a smaller share of products. The mean price and weight per functional unit are determined per quintile</a:t>
          </a:r>
          <a:r>
            <a:rPr lang="en-GB" sz="1100" baseline="0">
              <a:solidFill>
                <a:schemeClr val="dk1"/>
              </a:solidFill>
              <a:effectLst/>
              <a:latin typeface="+mn-lt"/>
              <a:ea typeface="+mn-ea"/>
              <a:cs typeface="+mn-cs"/>
            </a:rPr>
            <a:t> 'mean (Q)' </a:t>
          </a:r>
          <a:r>
            <a:rPr lang="en-GB" sz="1100">
              <a:solidFill>
                <a:schemeClr val="dk1"/>
              </a:solidFill>
              <a:effectLst/>
              <a:latin typeface="+mn-lt"/>
              <a:ea typeface="+mn-ea"/>
              <a:cs typeface="+mn-cs"/>
            </a:rPr>
            <a:t>and in total 'mean</a:t>
          </a:r>
          <a:r>
            <a:rPr lang="en-GB" sz="1100" baseline="0">
              <a:solidFill>
                <a:schemeClr val="dk1"/>
              </a:solidFill>
              <a:effectLst/>
              <a:latin typeface="+mn-lt"/>
              <a:ea typeface="+mn-ea"/>
              <a:cs typeface="+mn-cs"/>
            </a:rPr>
            <a:t> (T)'</a:t>
          </a:r>
          <a:r>
            <a:rPr lang="en-GB" sz="1100">
              <a:solidFill>
                <a:schemeClr val="dk1"/>
              </a:solidFill>
              <a:effectLst/>
              <a:latin typeface="+mn-lt"/>
              <a:ea typeface="+mn-ea"/>
              <a:cs typeface="+mn-cs"/>
            </a:rPr>
            <a:t>: the relative difference per product or ‘weight factor’ is then calculated by dividing the means per quintile '€/FU(Q)' and 'kg/FU(Q)'  by the total means '€/FU(T)' and 'kg/FU(T)'. A general weight factor is determined by averaging the relative means per product. The</a:t>
          </a:r>
          <a:r>
            <a:rPr lang="en-GB" sz="1100" baseline="0">
              <a:solidFill>
                <a:schemeClr val="dk1"/>
              </a:solidFill>
              <a:effectLst/>
              <a:latin typeface="+mn-lt"/>
              <a:ea typeface="+mn-ea"/>
              <a:cs typeface="+mn-cs"/>
            </a:rPr>
            <a:t> products included in this workbook are characterised with their specific weight factor- all other furniture product categories are characterised with the general weight factor. </a:t>
          </a: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p>
        <a:p>
          <a:r>
            <a:rPr lang="en-GB" sz="1100" b="1"/>
            <a:t>Index:</a:t>
          </a:r>
          <a:br>
            <a:rPr lang="en-GB" sz="1100"/>
          </a:br>
          <a:r>
            <a:rPr lang="en-GB" sz="1100"/>
            <a:t>Summary</a:t>
          </a:r>
          <a:br>
            <a:rPr lang="en-GB" sz="1100"/>
          </a:br>
          <a:r>
            <a:rPr lang="en-GB" sz="1100"/>
            <a:t>Dining</a:t>
          </a:r>
          <a:r>
            <a:rPr lang="en-GB" sz="1100" baseline="0"/>
            <a:t> table</a:t>
          </a:r>
          <a:br>
            <a:rPr lang="en-GB" sz="1100" baseline="0"/>
          </a:br>
          <a:r>
            <a:rPr lang="en-GB" sz="1100" baseline="0"/>
            <a:t>Chair</a:t>
          </a:r>
          <a:br>
            <a:rPr lang="en-GB" sz="1100" baseline="0"/>
          </a:br>
          <a:r>
            <a:rPr lang="en-GB" sz="1100" baseline="0"/>
            <a:t>(Double) bed</a:t>
          </a:r>
          <a:endParaRPr lang="en-GB" sz="110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525780</xdr:colOff>
      <xdr:row>9</xdr:row>
      <xdr:rowOff>99060</xdr:rowOff>
    </xdr:from>
    <xdr:to>
      <xdr:col>12</xdr:col>
      <xdr:colOff>220980</xdr:colOff>
      <xdr:row>24</xdr:row>
      <xdr:rowOff>99060</xdr:rowOff>
    </xdr:to>
    <xdr:graphicFrame macro="">
      <xdr:nvGraphicFramePr>
        <xdr:cNvPr id="2" name="Chart 1">
          <a:extLst>
            <a:ext uri="{FF2B5EF4-FFF2-40B4-BE49-F238E27FC236}">
              <a16:creationId xmlns:a16="http://schemas.microsoft.com/office/drawing/2014/main" id="{82972FFF-79FC-49A5-97A8-A74DC31E4A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2944</xdr:colOff>
      <xdr:row>19</xdr:row>
      <xdr:rowOff>122613</xdr:rowOff>
    </xdr:from>
    <xdr:to>
      <xdr:col>23</xdr:col>
      <xdr:colOff>162618</xdr:colOff>
      <xdr:row>41</xdr:row>
      <xdr:rowOff>151014</xdr:rowOff>
    </xdr:to>
    <xdr:graphicFrame macro="">
      <xdr:nvGraphicFramePr>
        <xdr:cNvPr id="2" name="Chart 1">
          <a:extLst>
            <a:ext uri="{FF2B5EF4-FFF2-40B4-BE49-F238E27FC236}">
              <a16:creationId xmlns:a16="http://schemas.microsoft.com/office/drawing/2014/main" id="{F43CFC05-E2DE-407F-B2B6-79567F3FC73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582237</xdr:colOff>
      <xdr:row>19</xdr:row>
      <xdr:rowOff>3464</xdr:rowOff>
    </xdr:from>
    <xdr:to>
      <xdr:col>17</xdr:col>
      <xdr:colOff>398318</xdr:colOff>
      <xdr:row>38</xdr:row>
      <xdr:rowOff>138546</xdr:rowOff>
    </xdr:to>
    <xdr:graphicFrame macro="">
      <xdr:nvGraphicFramePr>
        <xdr:cNvPr id="2" name="Chart 1">
          <a:extLst>
            <a:ext uri="{FF2B5EF4-FFF2-40B4-BE49-F238E27FC236}">
              <a16:creationId xmlns:a16="http://schemas.microsoft.com/office/drawing/2014/main" id="{A09A0D09-93B3-4444-A231-F829F3D67F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592456</xdr:colOff>
      <xdr:row>7</xdr:row>
      <xdr:rowOff>147774</xdr:rowOff>
    </xdr:from>
    <xdr:to>
      <xdr:col>24</xdr:col>
      <xdr:colOff>69941</xdr:colOff>
      <xdr:row>26</xdr:row>
      <xdr:rowOff>142602</xdr:rowOff>
    </xdr:to>
    <xdr:graphicFrame macro="">
      <xdr:nvGraphicFramePr>
        <xdr:cNvPr id="2" name="Chart 1">
          <a:extLst>
            <a:ext uri="{FF2B5EF4-FFF2-40B4-BE49-F238E27FC236}">
              <a16:creationId xmlns:a16="http://schemas.microsoft.com/office/drawing/2014/main" id="{971640F8-1441-4204-A427-F663894995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F1252-4FEF-48A7-8ACF-4B9536647025}">
  <dimension ref="A1"/>
  <sheetViews>
    <sheetView tabSelected="1" topLeftCell="A16" workbookViewId="0">
      <selection activeCell="N45" sqref="N45"/>
    </sheetView>
  </sheetViews>
  <sheetFormatPr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C2A5-FE35-42EB-A825-02C2385BC714}">
  <dimension ref="A1:V72"/>
  <sheetViews>
    <sheetView topLeftCell="A7" workbookViewId="0">
      <selection activeCell="K33" sqref="K33"/>
    </sheetView>
  </sheetViews>
  <sheetFormatPr defaultRowHeight="14.4" x14ac:dyDescent="0.3"/>
  <cols>
    <col min="14" max="14" width="0.88671875" style="12" customWidth="1"/>
    <col min="15" max="15" width="9" customWidth="1"/>
  </cols>
  <sheetData>
    <row r="1" spans="1:22" x14ac:dyDescent="0.3">
      <c r="A1" t="s">
        <v>224</v>
      </c>
      <c r="C1" t="s">
        <v>207</v>
      </c>
      <c r="G1" t="s">
        <v>231</v>
      </c>
    </row>
    <row r="2" spans="1:22" x14ac:dyDescent="0.3">
      <c r="A2" t="s">
        <v>229</v>
      </c>
      <c r="C2" t="s">
        <v>205</v>
      </c>
      <c r="D2" t="s">
        <v>206</v>
      </c>
      <c r="G2" t="s">
        <v>232</v>
      </c>
      <c r="S2" t="s">
        <v>235</v>
      </c>
      <c r="V2" s="13" t="s">
        <v>233</v>
      </c>
    </row>
    <row r="3" spans="1:22" x14ac:dyDescent="0.3">
      <c r="C3">
        <f>'Dining table'!O3</f>
        <v>384.34475149189785</v>
      </c>
      <c r="D3">
        <f>'Dining table'!P3</f>
        <v>39.329473751273113</v>
      </c>
      <c r="G3" t="s">
        <v>209</v>
      </c>
      <c r="H3" t="s">
        <v>210</v>
      </c>
      <c r="P3" t="s">
        <v>234</v>
      </c>
      <c r="Q3" t="s">
        <v>217</v>
      </c>
      <c r="R3">
        <v>0.65075853745543799</v>
      </c>
      <c r="S3" t="s">
        <v>237</v>
      </c>
      <c r="V3" t="str">
        <f t="shared" ref="V3:V34" si="0">P3&amp;";"&amp;Q3&amp;";"&amp;R3</f>
        <v>Armchair;Q1;0.650758537455438</v>
      </c>
    </row>
    <row r="4" spans="1:22" x14ac:dyDescent="0.3">
      <c r="F4" t="s">
        <v>217</v>
      </c>
      <c r="G4">
        <f>(C15+C35+C55)/3</f>
        <v>0.32113497160090132</v>
      </c>
      <c r="H4">
        <f>(D15+D35+D55)/3</f>
        <v>0.65075853745543799</v>
      </c>
      <c r="P4" t="s">
        <v>234</v>
      </c>
      <c r="Q4" t="s">
        <v>218</v>
      </c>
      <c r="R4">
        <v>0.78009284112923749</v>
      </c>
      <c r="S4" t="s">
        <v>237</v>
      </c>
      <c r="V4" t="str">
        <f t="shared" si="0"/>
        <v>Armchair;Q2;0.780092841129237</v>
      </c>
    </row>
    <row r="5" spans="1:22" x14ac:dyDescent="0.3">
      <c r="C5" t="s">
        <v>222</v>
      </c>
      <c r="F5" t="s">
        <v>218</v>
      </c>
      <c r="G5">
        <f t="shared" ref="G5:H8" si="1">(C16+C36+C56)/3</f>
        <v>0.55645080903048549</v>
      </c>
      <c r="H5">
        <f>(D16+D36+D56)/3</f>
        <v>0.78009284112923749</v>
      </c>
      <c r="P5" t="s">
        <v>234</v>
      </c>
      <c r="Q5" t="s">
        <v>219</v>
      </c>
      <c r="R5">
        <v>0.86897556295804002</v>
      </c>
      <c r="S5" t="s">
        <v>237</v>
      </c>
      <c r="V5" t="str">
        <f t="shared" si="0"/>
        <v>Armchair;Q3;0.86897556295804</v>
      </c>
    </row>
    <row r="6" spans="1:22" x14ac:dyDescent="0.3">
      <c r="C6" t="s">
        <v>205</v>
      </c>
      <c r="D6" t="s">
        <v>206</v>
      </c>
      <c r="F6" t="s">
        <v>219</v>
      </c>
      <c r="G6">
        <f t="shared" si="1"/>
        <v>0.76469081190969401</v>
      </c>
      <c r="H6">
        <f t="shared" si="1"/>
        <v>0.86897556295804002</v>
      </c>
      <c r="P6" t="s">
        <v>234</v>
      </c>
      <c r="Q6" t="s">
        <v>220</v>
      </c>
      <c r="R6">
        <v>1.0792089655585537</v>
      </c>
      <c r="S6" t="s">
        <v>237</v>
      </c>
      <c r="V6" t="str">
        <f t="shared" si="0"/>
        <v>Armchair;Q4;1.07920896555855</v>
      </c>
    </row>
    <row r="7" spans="1:22" x14ac:dyDescent="0.3">
      <c r="B7" t="s">
        <v>217</v>
      </c>
      <c r="C7">
        <f>'Dining table'!P6</f>
        <v>92.855359889372949</v>
      </c>
      <c r="D7">
        <f>'Dining table'!Q6</f>
        <v>21.971135854826233</v>
      </c>
      <c r="F7" t="s">
        <v>220</v>
      </c>
      <c r="G7">
        <f>(C18+C38+C58)/3</f>
        <v>1.1429032510866677</v>
      </c>
      <c r="H7">
        <f>(D18+D38+D58)/3</f>
        <v>1.0792089655585537</v>
      </c>
      <c r="P7" t="s">
        <v>234</v>
      </c>
      <c r="Q7" t="s">
        <v>221</v>
      </c>
      <c r="R7">
        <v>1.6965079566963741</v>
      </c>
      <c r="S7" t="s">
        <v>237</v>
      </c>
      <c r="V7" t="str">
        <f t="shared" si="0"/>
        <v>Armchair;Q5;1.69650795669637</v>
      </c>
    </row>
    <row r="8" spans="1:22" x14ac:dyDescent="0.3">
      <c r="B8" t="s">
        <v>218</v>
      </c>
      <c r="C8">
        <f>'Dining table'!P7</f>
        <v>208.0897212198436</v>
      </c>
      <c r="D8">
        <f>'Dining table'!Q7</f>
        <v>27.945983802400644</v>
      </c>
      <c r="F8" t="s">
        <v>221</v>
      </c>
      <c r="G8">
        <f t="shared" si="1"/>
        <v>2.3587983871971052</v>
      </c>
      <c r="H8">
        <f t="shared" si="1"/>
        <v>1.6965079566963741</v>
      </c>
      <c r="P8" t="s">
        <v>238</v>
      </c>
      <c r="Q8" t="s">
        <v>217</v>
      </c>
      <c r="R8">
        <v>0.65075853745543799</v>
      </c>
      <c r="S8" t="s">
        <v>237</v>
      </c>
      <c r="V8" t="str">
        <f t="shared" si="0"/>
        <v>Bar stool;Q1;0.650758537455438</v>
      </c>
    </row>
    <row r="9" spans="1:22" x14ac:dyDescent="0.3">
      <c r="B9" t="s">
        <v>219</v>
      </c>
      <c r="C9">
        <f>'Dining table'!P8</f>
        <v>312.27466519516571</v>
      </c>
      <c r="D9">
        <f>'Dining table'!Q8</f>
        <v>34.801995253384653</v>
      </c>
      <c r="P9" t="s">
        <v>238</v>
      </c>
      <c r="Q9" t="s">
        <v>218</v>
      </c>
      <c r="R9">
        <v>0.78009284112923749</v>
      </c>
      <c r="S9" t="s">
        <v>237</v>
      </c>
      <c r="V9" t="str">
        <f t="shared" si="0"/>
        <v>Bar stool;Q2;0.780092841129237</v>
      </c>
    </row>
    <row r="10" spans="1:22" x14ac:dyDescent="0.3">
      <c r="B10" t="s">
        <v>220</v>
      </c>
      <c r="C10">
        <f>'Dining table'!P9</f>
        <v>433.8962039422567</v>
      </c>
      <c r="D10">
        <f>'Dining table'!Q9</f>
        <v>43.658971916647346</v>
      </c>
      <c r="P10" t="s">
        <v>238</v>
      </c>
      <c r="Q10" t="s">
        <v>219</v>
      </c>
      <c r="R10">
        <v>0.86897556295804002</v>
      </c>
      <c r="S10" t="s">
        <v>237</v>
      </c>
      <c r="V10" t="str">
        <f t="shared" si="0"/>
        <v>Bar stool;Q3;0.86897556295804</v>
      </c>
    </row>
    <row r="11" spans="1:22" x14ac:dyDescent="0.3">
      <c r="B11" t="s">
        <v>221</v>
      </c>
      <c r="C11">
        <f>'Dining table'!P10</f>
        <v>983.55515292861776</v>
      </c>
      <c r="D11">
        <f>'Dining table'!Q10</f>
        <v>74.7003504130697</v>
      </c>
      <c r="P11" t="s">
        <v>238</v>
      </c>
      <c r="Q11" t="s">
        <v>220</v>
      </c>
      <c r="R11">
        <v>1.0792089655585537</v>
      </c>
      <c r="S11" t="s">
        <v>237</v>
      </c>
      <c r="V11" t="str">
        <f t="shared" si="0"/>
        <v>Bar stool;Q4;1.07920896555855</v>
      </c>
    </row>
    <row r="12" spans="1:22" x14ac:dyDescent="0.3">
      <c r="P12" t="s">
        <v>238</v>
      </c>
      <c r="Q12" t="s">
        <v>221</v>
      </c>
      <c r="R12">
        <v>1.6965079566963741</v>
      </c>
      <c r="S12" t="s">
        <v>237</v>
      </c>
      <c r="V12" t="str">
        <f t="shared" si="0"/>
        <v>Bar stool;Q5;1.69650795669637</v>
      </c>
    </row>
    <row r="13" spans="1:22" x14ac:dyDescent="0.3">
      <c r="C13" t="s">
        <v>223</v>
      </c>
      <c r="P13" t="s">
        <v>239</v>
      </c>
      <c r="Q13" t="s">
        <v>217</v>
      </c>
      <c r="R13">
        <v>0.65075853745543799</v>
      </c>
      <c r="S13" t="s">
        <v>237</v>
      </c>
      <c r="V13" t="str">
        <f t="shared" si="0"/>
        <v>Big closet;Q1;0.650758537455438</v>
      </c>
    </row>
    <row r="14" spans="1:22" x14ac:dyDescent="0.3">
      <c r="C14" t="s">
        <v>205</v>
      </c>
      <c r="D14" t="s">
        <v>206</v>
      </c>
      <c r="P14" t="s">
        <v>239</v>
      </c>
      <c r="Q14" t="s">
        <v>218</v>
      </c>
      <c r="R14">
        <v>0.78009284112923749</v>
      </c>
      <c r="S14" t="s">
        <v>237</v>
      </c>
      <c r="V14" t="str">
        <f t="shared" si="0"/>
        <v>Big closet;Q2;0.780092841129237</v>
      </c>
    </row>
    <row r="15" spans="1:22" x14ac:dyDescent="0.3">
      <c r="B15" t="s">
        <v>217</v>
      </c>
      <c r="C15">
        <f>'Dining table'!P14</f>
        <v>0.24159393234573773</v>
      </c>
      <c r="D15">
        <f>'Dining table'!Q14</f>
        <v>0.55864301652688697</v>
      </c>
      <c r="P15" t="s">
        <v>239</v>
      </c>
      <c r="Q15" t="s">
        <v>219</v>
      </c>
      <c r="R15">
        <v>0.86897556295804002</v>
      </c>
      <c r="S15" t="s">
        <v>237</v>
      </c>
      <c r="V15" t="str">
        <f t="shared" si="0"/>
        <v>Big closet;Q3;0.86897556295804</v>
      </c>
    </row>
    <row r="16" spans="1:22" x14ac:dyDescent="0.3">
      <c r="B16" t="s">
        <v>218</v>
      </c>
      <c r="C16">
        <f>'Dining table'!P15</f>
        <v>0.54141423920089671</v>
      </c>
      <c r="D16">
        <f>'Dining table'!Q15</f>
        <v>0.71056083737952425</v>
      </c>
      <c r="P16" t="s">
        <v>239</v>
      </c>
      <c r="Q16" t="s">
        <v>220</v>
      </c>
      <c r="R16">
        <v>1.0792089655585537</v>
      </c>
      <c r="S16" t="s">
        <v>237</v>
      </c>
      <c r="V16" t="str">
        <f t="shared" si="0"/>
        <v>Big closet;Q4;1.07920896555855</v>
      </c>
    </row>
    <row r="17" spans="1:22" x14ac:dyDescent="0.3">
      <c r="B17" t="s">
        <v>219</v>
      </c>
      <c r="C17">
        <f>'Dining table'!P16</f>
        <v>0.81248583201154656</v>
      </c>
      <c r="D17">
        <f>'Dining table'!Q16</f>
        <v>0.88488331863983039</v>
      </c>
      <c r="P17" t="s">
        <v>239</v>
      </c>
      <c r="Q17" t="s">
        <v>221</v>
      </c>
      <c r="R17">
        <v>1.6965079566963741</v>
      </c>
      <c r="S17" t="s">
        <v>237</v>
      </c>
      <c r="V17" t="str">
        <f t="shared" si="0"/>
        <v>Big closet;Q5;1.69650795669637</v>
      </c>
    </row>
    <row r="18" spans="1:22" x14ac:dyDescent="0.3">
      <c r="B18" t="s">
        <v>220</v>
      </c>
      <c r="C18">
        <f>'Dining table'!P17</f>
        <v>1.1289244935907585</v>
      </c>
      <c r="D18">
        <f>'Dining table'!Q17</f>
        <v>1.110082789125397</v>
      </c>
      <c r="P18" t="s">
        <v>240</v>
      </c>
      <c r="Q18" t="s">
        <v>217</v>
      </c>
      <c r="R18">
        <v>0.65075853745543799</v>
      </c>
      <c r="S18" t="s">
        <v>237</v>
      </c>
      <c r="V18" t="str">
        <f t="shared" si="0"/>
        <v>Office chair;Q1;0.650758537455438</v>
      </c>
    </row>
    <row r="19" spans="1:22" x14ac:dyDescent="0.3">
      <c r="B19" t="s">
        <v>221</v>
      </c>
      <c r="C19">
        <f>'Dining table'!P18</f>
        <v>2.5590440590401857</v>
      </c>
      <c r="D19">
        <f>'Dining table'!Q18</f>
        <v>1.8993478246235527</v>
      </c>
      <c r="P19" t="s">
        <v>240</v>
      </c>
      <c r="Q19" t="s">
        <v>218</v>
      </c>
      <c r="R19">
        <v>0.78009284112923749</v>
      </c>
      <c r="S19" t="s">
        <v>237</v>
      </c>
      <c r="V19" t="str">
        <f t="shared" si="0"/>
        <v>Office chair;Q2;0.780092841129237</v>
      </c>
    </row>
    <row r="20" spans="1:22" x14ac:dyDescent="0.3">
      <c r="P20" t="s">
        <v>240</v>
      </c>
      <c r="Q20" t="s">
        <v>219</v>
      </c>
      <c r="R20">
        <v>0.86897556295804002</v>
      </c>
      <c r="S20" t="s">
        <v>237</v>
      </c>
      <c r="V20" t="str">
        <f t="shared" si="0"/>
        <v>Office chair;Q3;0.86897556295804</v>
      </c>
    </row>
    <row r="21" spans="1:22" x14ac:dyDescent="0.3">
      <c r="A21" t="s">
        <v>225</v>
      </c>
      <c r="C21" t="s">
        <v>207</v>
      </c>
      <c r="P21" t="s">
        <v>240</v>
      </c>
      <c r="Q21" t="s">
        <v>220</v>
      </c>
      <c r="R21">
        <v>1.0792089655585537</v>
      </c>
      <c r="S21" t="s">
        <v>237</v>
      </c>
      <c r="V21" t="str">
        <f t="shared" si="0"/>
        <v>Office chair;Q4;1.07920896555855</v>
      </c>
    </row>
    <row r="22" spans="1:22" x14ac:dyDescent="0.3">
      <c r="A22" t="s">
        <v>230</v>
      </c>
      <c r="C22" t="s">
        <v>227</v>
      </c>
      <c r="D22" t="s">
        <v>228</v>
      </c>
      <c r="P22" t="s">
        <v>240</v>
      </c>
      <c r="Q22" t="s">
        <v>221</v>
      </c>
      <c r="R22">
        <v>1.6965079566963741</v>
      </c>
      <c r="S22" t="s">
        <v>237</v>
      </c>
      <c r="V22" t="str">
        <f t="shared" si="0"/>
        <v>Office chair;Q5;1.69650795669637</v>
      </c>
    </row>
    <row r="23" spans="1:22" x14ac:dyDescent="0.3">
      <c r="C23">
        <f>Chair!J3</f>
        <v>78.364117647058833</v>
      </c>
      <c r="D23">
        <f>Chair!K3</f>
        <v>7.0011029411764705</v>
      </c>
      <c r="P23" t="s">
        <v>225</v>
      </c>
      <c r="Q23" t="s">
        <v>217</v>
      </c>
      <c r="R23">
        <v>0.76987869558367916</v>
      </c>
      <c r="S23" t="s">
        <v>236</v>
      </c>
      <c r="V23" t="str">
        <f t="shared" si="0"/>
        <v>Chair;Q1;0.769878695583679</v>
      </c>
    </row>
    <row r="24" spans="1:22" x14ac:dyDescent="0.3">
      <c r="P24" t="s">
        <v>225</v>
      </c>
      <c r="Q24" t="s">
        <v>218</v>
      </c>
      <c r="R24">
        <v>0.85282481001642896</v>
      </c>
      <c r="S24" t="s">
        <v>236</v>
      </c>
      <c r="V24" t="str">
        <f t="shared" si="0"/>
        <v>Chair;Q2;0.852824810016429</v>
      </c>
    </row>
    <row r="25" spans="1:22" x14ac:dyDescent="0.3">
      <c r="C25" t="s">
        <v>222</v>
      </c>
      <c r="P25" t="s">
        <v>225</v>
      </c>
      <c r="Q25" t="s">
        <v>219</v>
      </c>
      <c r="R25">
        <v>0.82466598150051384</v>
      </c>
      <c r="S25" t="s">
        <v>236</v>
      </c>
      <c r="V25" t="str">
        <f t="shared" si="0"/>
        <v>Chair;Q3;0.824665981500514</v>
      </c>
    </row>
    <row r="26" spans="1:22" x14ac:dyDescent="0.3">
      <c r="C26" t="s">
        <v>205</v>
      </c>
      <c r="D26" t="s">
        <v>206</v>
      </c>
      <c r="P26" t="s">
        <v>225</v>
      </c>
      <c r="Q26" t="s">
        <v>220</v>
      </c>
      <c r="R26">
        <v>1.1739476823129611</v>
      </c>
      <c r="S26" t="s">
        <v>236</v>
      </c>
      <c r="V26" t="str">
        <f t="shared" si="0"/>
        <v>Chair;Q4;1.17394768231296</v>
      </c>
    </row>
    <row r="27" spans="1:22" x14ac:dyDescent="0.3">
      <c r="B27" t="s">
        <v>217</v>
      </c>
      <c r="C27">
        <f>Chair!K6</f>
        <v>29.321428571428573</v>
      </c>
      <c r="D27">
        <f>Chair!L6</f>
        <v>5.3900000000000006</v>
      </c>
      <c r="G27" s="13" t="s">
        <v>251</v>
      </c>
      <c r="H27" s="13" t="s">
        <v>224</v>
      </c>
      <c r="I27" s="13" t="s">
        <v>225</v>
      </c>
      <c r="J27" s="13" t="s">
        <v>226</v>
      </c>
      <c r="K27" s="13" t="s">
        <v>231</v>
      </c>
      <c r="P27" t="s">
        <v>225</v>
      </c>
      <c r="Q27" t="s">
        <v>221</v>
      </c>
      <c r="R27">
        <v>1.4417966356841536</v>
      </c>
      <c r="S27" t="s">
        <v>236</v>
      </c>
      <c r="V27" t="str">
        <f t="shared" si="0"/>
        <v>Chair;Q5;1.44179663568415</v>
      </c>
    </row>
    <row r="28" spans="1:22" x14ac:dyDescent="0.3">
      <c r="B28" t="s">
        <v>218</v>
      </c>
      <c r="C28">
        <f>Chair!K7</f>
        <v>49.214285714285715</v>
      </c>
      <c r="D28">
        <f>Chair!L7</f>
        <v>5.9707142857142852</v>
      </c>
      <c r="G28" s="13" t="s">
        <v>217</v>
      </c>
      <c r="H28">
        <v>0.55864301652688697</v>
      </c>
      <c r="I28">
        <v>0.76987869558367916</v>
      </c>
      <c r="J28">
        <v>0.62375390025574795</v>
      </c>
      <c r="K28">
        <v>0.65075853745543799</v>
      </c>
      <c r="P28" t="s">
        <v>241</v>
      </c>
      <c r="Q28" t="s">
        <v>217</v>
      </c>
      <c r="R28">
        <v>0.65075853745543799</v>
      </c>
      <c r="S28" t="s">
        <v>237</v>
      </c>
      <c r="V28" t="str">
        <f t="shared" si="0"/>
        <v>Desk;Q1;0.650758537455438</v>
      </c>
    </row>
    <row r="29" spans="1:22" x14ac:dyDescent="0.3">
      <c r="B29" t="s">
        <v>219</v>
      </c>
      <c r="C29">
        <f>Chair!K8</f>
        <v>66.642857142857139</v>
      </c>
      <c r="D29">
        <f>Chair!L8</f>
        <v>5.7735714285714286</v>
      </c>
      <c r="G29" s="13" t="s">
        <v>218</v>
      </c>
      <c r="H29">
        <v>0.71056083737952425</v>
      </c>
      <c r="I29">
        <v>0.85282481001642896</v>
      </c>
      <c r="J29">
        <v>0.77689287599175916</v>
      </c>
      <c r="K29">
        <v>0.78009284112923749</v>
      </c>
      <c r="P29" t="s">
        <v>241</v>
      </c>
      <c r="Q29" t="s">
        <v>218</v>
      </c>
      <c r="R29">
        <v>0.78009284112923749</v>
      </c>
      <c r="S29" t="s">
        <v>237</v>
      </c>
      <c r="V29" t="str">
        <f t="shared" si="0"/>
        <v>Desk;Q2;0.780092841129237</v>
      </c>
    </row>
    <row r="30" spans="1:22" x14ac:dyDescent="0.3">
      <c r="B30" t="s">
        <v>220</v>
      </c>
      <c r="C30">
        <f>Chair!K9</f>
        <v>98.468571428571423</v>
      </c>
      <c r="D30">
        <f>Chair!L9</f>
        <v>8.218928571428572</v>
      </c>
      <c r="G30" s="13" t="s">
        <v>219</v>
      </c>
      <c r="H30">
        <v>0.88488331863983039</v>
      </c>
      <c r="I30">
        <v>0.82466598150051384</v>
      </c>
      <c r="J30">
        <v>0.89737738873377593</v>
      </c>
      <c r="K30">
        <v>0.86897556295804002</v>
      </c>
      <c r="P30" t="s">
        <v>241</v>
      </c>
      <c r="Q30" t="s">
        <v>219</v>
      </c>
      <c r="R30">
        <v>0.86897556295804002</v>
      </c>
      <c r="S30" t="s">
        <v>237</v>
      </c>
      <c r="V30" t="str">
        <f t="shared" si="0"/>
        <v>Desk;Q3;0.86897556295804</v>
      </c>
    </row>
    <row r="31" spans="1:22" x14ac:dyDescent="0.3">
      <c r="B31" t="s">
        <v>221</v>
      </c>
      <c r="C31">
        <f>Chair!K10</f>
        <v>159.80833333333334</v>
      </c>
      <c r="D31">
        <f>Chair!L10</f>
        <v>10.094166666666668</v>
      </c>
      <c r="G31" s="13" t="s">
        <v>220</v>
      </c>
      <c r="H31">
        <v>1.110082789125397</v>
      </c>
      <c r="I31">
        <v>1.1739476823129611</v>
      </c>
      <c r="J31">
        <v>0.95359642523730315</v>
      </c>
      <c r="K31">
        <v>1.0792089655585537</v>
      </c>
      <c r="P31" t="s">
        <v>241</v>
      </c>
      <c r="Q31" t="s">
        <v>220</v>
      </c>
      <c r="R31">
        <v>1.0792089655585537</v>
      </c>
      <c r="S31" t="s">
        <v>237</v>
      </c>
      <c r="V31" t="str">
        <f t="shared" si="0"/>
        <v>Desk;Q4;1.07920896555855</v>
      </c>
    </row>
    <row r="32" spans="1:22" x14ac:dyDescent="0.3">
      <c r="G32" s="13" t="s">
        <v>221</v>
      </c>
      <c r="H32">
        <v>1.8993478246235527</v>
      </c>
      <c r="I32">
        <v>1.4417966356841536</v>
      </c>
      <c r="J32">
        <v>1.748379409781416</v>
      </c>
      <c r="K32">
        <v>1.6965079566963741</v>
      </c>
      <c r="P32" t="s">
        <v>241</v>
      </c>
      <c r="Q32" t="s">
        <v>221</v>
      </c>
      <c r="R32">
        <v>1.6965079566963741</v>
      </c>
      <c r="S32" t="s">
        <v>237</v>
      </c>
      <c r="V32" t="str">
        <f t="shared" si="0"/>
        <v>Desk;Q5;1.69650795669637</v>
      </c>
    </row>
    <row r="33" spans="1:22" x14ac:dyDescent="0.3">
      <c r="C33" t="s">
        <v>223</v>
      </c>
      <c r="P33" t="s">
        <v>224</v>
      </c>
      <c r="Q33" t="s">
        <v>217</v>
      </c>
      <c r="R33">
        <v>0.55864301652688697</v>
      </c>
      <c r="S33" t="s">
        <v>236</v>
      </c>
      <c r="V33" t="str">
        <f t="shared" si="0"/>
        <v>Dining table;Q1;0.558643016526887</v>
      </c>
    </row>
    <row r="34" spans="1:22" x14ac:dyDescent="0.3">
      <c r="C34" t="s">
        <v>205</v>
      </c>
      <c r="D34" t="s">
        <v>206</v>
      </c>
      <c r="P34" t="s">
        <v>224</v>
      </c>
      <c r="Q34" t="s">
        <v>218</v>
      </c>
      <c r="R34">
        <v>0.71056083737952425</v>
      </c>
      <c r="S34" t="s">
        <v>236</v>
      </c>
      <c r="V34" t="str">
        <f t="shared" si="0"/>
        <v>Dining table;Q2;0.710560837379524</v>
      </c>
    </row>
    <row r="35" spans="1:22" x14ac:dyDescent="0.3">
      <c r="B35" t="s">
        <v>217</v>
      </c>
      <c r="C35">
        <f>Chair!K14</f>
        <v>0.37416906425831575</v>
      </c>
      <c r="D35">
        <f>Chair!L14</f>
        <v>0.76987869558367916</v>
      </c>
      <c r="P35" t="s">
        <v>224</v>
      </c>
      <c r="Q35" t="s">
        <v>219</v>
      </c>
      <c r="R35">
        <v>0.88488331863983039</v>
      </c>
      <c r="S35" t="s">
        <v>236</v>
      </c>
      <c r="V35" t="str">
        <f t="shared" ref="V35:V66" si="2">P35&amp;";"&amp;Q35&amp;";"&amp;R35</f>
        <v>Dining table;Q3;0.88488331863983</v>
      </c>
    </row>
    <row r="36" spans="1:22" x14ac:dyDescent="0.3">
      <c r="B36" t="s">
        <v>218</v>
      </c>
      <c r="C36">
        <f>Chair!K15</f>
        <v>0.62802067058216704</v>
      </c>
      <c r="D36">
        <f>Chair!L15</f>
        <v>0.85282481001642896</v>
      </c>
      <c r="P36" t="s">
        <v>224</v>
      </c>
      <c r="Q36" t="s">
        <v>220</v>
      </c>
      <c r="R36">
        <v>1.110082789125397</v>
      </c>
      <c r="S36" t="s">
        <v>236</v>
      </c>
      <c r="V36" t="str">
        <f t="shared" si="2"/>
        <v>Dining table;Q4;1.1100827891254</v>
      </c>
    </row>
    <row r="37" spans="1:22" x14ac:dyDescent="0.3">
      <c r="B37" t="s">
        <v>219</v>
      </c>
      <c r="C37">
        <f>Chair!K16</f>
        <v>0.85042566858223767</v>
      </c>
      <c r="D37">
        <f>Chair!L16</f>
        <v>0.82466598150051384</v>
      </c>
      <c r="P37" t="s">
        <v>224</v>
      </c>
      <c r="Q37" t="s">
        <v>221</v>
      </c>
      <c r="R37">
        <v>1.8993478246235527</v>
      </c>
      <c r="S37" t="s">
        <v>236</v>
      </c>
      <c r="V37" t="str">
        <f t="shared" si="2"/>
        <v>Dining table;Q5;1.89934782462355</v>
      </c>
    </row>
    <row r="38" spans="1:22" x14ac:dyDescent="0.3">
      <c r="B38" t="s">
        <v>220</v>
      </c>
      <c r="C38">
        <f>Chair!K17</f>
        <v>1.2565517788646619</v>
      </c>
      <c r="D38">
        <f>Chair!L17</f>
        <v>1.1739476823129611</v>
      </c>
      <c r="P38" t="s">
        <v>242</v>
      </c>
      <c r="Q38" t="s">
        <v>217</v>
      </c>
      <c r="R38">
        <v>0.65075853745543799</v>
      </c>
      <c r="S38" t="s">
        <v>237</v>
      </c>
      <c r="V38" t="str">
        <f t="shared" si="2"/>
        <v>Small closet;Q1;0.650758537455438</v>
      </c>
    </row>
    <row r="39" spans="1:22" x14ac:dyDescent="0.3">
      <c r="B39" t="s">
        <v>221</v>
      </c>
      <c r="C39">
        <f>Chair!K18</f>
        <v>2.039304953998053</v>
      </c>
      <c r="D39">
        <f>Chair!L18</f>
        <v>1.4417966356841536</v>
      </c>
      <c r="P39" t="s">
        <v>242</v>
      </c>
      <c r="Q39" t="s">
        <v>218</v>
      </c>
      <c r="R39">
        <v>0.78009284112923749</v>
      </c>
      <c r="S39" t="s">
        <v>237</v>
      </c>
      <c r="V39" t="str">
        <f t="shared" si="2"/>
        <v>Small closet;Q2;0.780092841129237</v>
      </c>
    </row>
    <row r="40" spans="1:22" x14ac:dyDescent="0.3">
      <c r="P40" t="s">
        <v>242</v>
      </c>
      <c r="Q40" t="s">
        <v>219</v>
      </c>
      <c r="R40">
        <v>0.86897556295804002</v>
      </c>
      <c r="S40" t="s">
        <v>237</v>
      </c>
      <c r="V40" t="str">
        <f t="shared" si="2"/>
        <v>Small closet;Q3;0.86897556295804</v>
      </c>
    </row>
    <row r="41" spans="1:22" x14ac:dyDescent="0.3">
      <c r="A41" t="s">
        <v>226</v>
      </c>
      <c r="C41" t="s">
        <v>207</v>
      </c>
      <c r="P41" t="s">
        <v>242</v>
      </c>
      <c r="Q41" t="s">
        <v>220</v>
      </c>
      <c r="R41">
        <v>1.0792089655585537</v>
      </c>
      <c r="S41" t="s">
        <v>237</v>
      </c>
      <c r="V41" t="str">
        <f t="shared" si="2"/>
        <v>Small closet;Q4;1.07920896555855</v>
      </c>
    </row>
    <row r="42" spans="1:22" x14ac:dyDescent="0.3">
      <c r="A42" t="s">
        <v>229</v>
      </c>
      <c r="C42" t="s">
        <v>205</v>
      </c>
      <c r="D42" t="s">
        <v>206</v>
      </c>
      <c r="P42" t="s">
        <v>242</v>
      </c>
      <c r="Q42" t="s">
        <v>221</v>
      </c>
      <c r="R42">
        <v>1.6965079566963741</v>
      </c>
      <c r="S42" t="s">
        <v>237</v>
      </c>
      <c r="V42" t="str">
        <f t="shared" si="2"/>
        <v>Small closet;Q5;1.69650795669637</v>
      </c>
    </row>
    <row r="43" spans="1:22" x14ac:dyDescent="0.3">
      <c r="C43">
        <f>'(Double) bed'!Z11</f>
        <v>274.02734788359788</v>
      </c>
      <c r="D43">
        <f>'(Double) bed'!AA11</f>
        <v>46.777071759259243</v>
      </c>
      <c r="P43" t="s">
        <v>226</v>
      </c>
      <c r="Q43" t="s">
        <v>217</v>
      </c>
      <c r="R43">
        <v>0.62375390025574795</v>
      </c>
      <c r="S43" t="s">
        <v>236</v>
      </c>
      <c r="V43" t="str">
        <f t="shared" si="2"/>
        <v>(Double) bed;Q1;0.623753900255748</v>
      </c>
    </row>
    <row r="44" spans="1:22" x14ac:dyDescent="0.3">
      <c r="P44" t="s">
        <v>226</v>
      </c>
      <c r="Q44" t="s">
        <v>218</v>
      </c>
      <c r="R44">
        <v>0.77689287599175916</v>
      </c>
      <c r="S44" t="s">
        <v>236</v>
      </c>
      <c r="V44" t="str">
        <f t="shared" si="2"/>
        <v>(Double) bed;Q2;0.776892875991759</v>
      </c>
    </row>
    <row r="45" spans="1:22" x14ac:dyDescent="0.3">
      <c r="C45" t="s">
        <v>222</v>
      </c>
      <c r="P45" t="s">
        <v>226</v>
      </c>
      <c r="Q45" t="s">
        <v>219</v>
      </c>
      <c r="R45">
        <v>0.89737738873377593</v>
      </c>
      <c r="S45" t="s">
        <v>236</v>
      </c>
      <c r="V45" t="str">
        <f t="shared" si="2"/>
        <v>(Double) bed;Q3;0.897377388733776</v>
      </c>
    </row>
    <row r="46" spans="1:22" x14ac:dyDescent="0.3">
      <c r="C46" t="s">
        <v>205</v>
      </c>
      <c r="D46" t="s">
        <v>206</v>
      </c>
      <c r="P46" t="s">
        <v>226</v>
      </c>
      <c r="Q46" t="s">
        <v>220</v>
      </c>
      <c r="R46">
        <v>0.95359642523730315</v>
      </c>
      <c r="S46" t="s">
        <v>236</v>
      </c>
      <c r="V46" t="str">
        <f t="shared" si="2"/>
        <v>(Double) bed;Q4;0.953596425237303</v>
      </c>
    </row>
    <row r="47" spans="1:22" x14ac:dyDescent="0.3">
      <c r="B47" t="s">
        <v>217</v>
      </c>
      <c r="C47">
        <f>'(Double) bed'!AA14</f>
        <v>95.263392857142875</v>
      </c>
      <c r="D47">
        <f>'(Double) bed'!AB14</f>
        <v>29.177380952380954</v>
      </c>
      <c r="P47" t="s">
        <v>226</v>
      </c>
      <c r="Q47" t="s">
        <v>221</v>
      </c>
      <c r="R47">
        <v>1.748379409781416</v>
      </c>
      <c r="S47" t="s">
        <v>236</v>
      </c>
      <c r="V47" t="str">
        <f t="shared" si="2"/>
        <v>(Double) bed;Q5;1.74837940978142</v>
      </c>
    </row>
    <row r="48" spans="1:22" x14ac:dyDescent="0.3">
      <c r="B48" t="s">
        <v>218</v>
      </c>
      <c r="C48">
        <f>'(Double) bed'!AA15</f>
        <v>136.99107142857142</v>
      </c>
      <c r="D48">
        <f>'(Double) bed'!AB15</f>
        <v>36.34077380952381</v>
      </c>
      <c r="P48" t="s">
        <v>243</v>
      </c>
      <c r="Q48" t="s">
        <v>217</v>
      </c>
      <c r="R48">
        <v>0.65075853745543799</v>
      </c>
      <c r="S48" t="s">
        <v>237</v>
      </c>
      <c r="V48" t="str">
        <f t="shared" si="2"/>
        <v>Mattress;Q1;0.650758537455438</v>
      </c>
    </row>
    <row r="49" spans="2:22" x14ac:dyDescent="0.3">
      <c r="B49" t="s">
        <v>219</v>
      </c>
      <c r="C49">
        <f>'(Double) bed'!AA16</f>
        <v>172.9553571428572</v>
      </c>
      <c r="D49">
        <f>'(Double) bed'!AB16</f>
        <v>41.976686507936513</v>
      </c>
      <c r="P49" t="s">
        <v>243</v>
      </c>
      <c r="Q49" t="s">
        <v>218</v>
      </c>
      <c r="R49">
        <v>0.78009284112923749</v>
      </c>
      <c r="S49" t="s">
        <v>237</v>
      </c>
      <c r="V49" t="str">
        <f t="shared" si="2"/>
        <v>Mattress;Q2;0.780092841129237</v>
      </c>
    </row>
    <row r="50" spans="2:22" x14ac:dyDescent="0.3">
      <c r="B50" t="s">
        <v>220</v>
      </c>
      <c r="C50">
        <f>'(Double) bed'!AA17</f>
        <v>285.87450396825398</v>
      </c>
      <c r="D50">
        <f>'(Double) bed'!AB17</f>
        <v>44.60644841269842</v>
      </c>
      <c r="P50" t="s">
        <v>243</v>
      </c>
      <c r="Q50" t="s">
        <v>219</v>
      </c>
      <c r="R50">
        <v>0.86897556295804002</v>
      </c>
      <c r="S50" t="s">
        <v>237</v>
      </c>
      <c r="V50" t="str">
        <f t="shared" si="2"/>
        <v>Mattress;Q3;0.86897556295804</v>
      </c>
    </row>
    <row r="51" spans="2:22" x14ac:dyDescent="0.3">
      <c r="B51" t="s">
        <v>221</v>
      </c>
      <c r="C51">
        <f>'(Double) bed'!AA18</f>
        <v>679.05241402116405</v>
      </c>
      <c r="D51">
        <f>'(Double) bed'!AB18</f>
        <v>81.784069113756615</v>
      </c>
      <c r="P51" t="s">
        <v>243</v>
      </c>
      <c r="Q51" t="s">
        <v>220</v>
      </c>
      <c r="R51">
        <v>1.0792089655585537</v>
      </c>
      <c r="S51" t="s">
        <v>237</v>
      </c>
      <c r="V51" t="str">
        <f t="shared" si="2"/>
        <v>Mattress;Q4;1.07920896555855</v>
      </c>
    </row>
    <row r="52" spans="2:22" x14ac:dyDescent="0.3">
      <c r="P52" t="s">
        <v>243</v>
      </c>
      <c r="Q52" t="s">
        <v>221</v>
      </c>
      <c r="R52">
        <v>1.6965079566963741</v>
      </c>
      <c r="S52" t="s">
        <v>237</v>
      </c>
      <c r="V52" t="str">
        <f t="shared" si="2"/>
        <v>Mattress;Q5;1.69650795669637</v>
      </c>
    </row>
    <row r="53" spans="2:22" x14ac:dyDescent="0.3">
      <c r="C53" t="s">
        <v>223</v>
      </c>
      <c r="P53" t="s">
        <v>244</v>
      </c>
      <c r="Q53" t="s">
        <v>217</v>
      </c>
      <c r="R53">
        <v>0.65075853745543799</v>
      </c>
      <c r="S53" t="s">
        <v>237</v>
      </c>
      <c r="V53" t="str">
        <f t="shared" si="2"/>
        <v>Side table;Q1;0.650758537455438</v>
      </c>
    </row>
    <row r="54" spans="2:22" x14ac:dyDescent="0.3">
      <c r="C54" t="s">
        <v>205</v>
      </c>
      <c r="D54" t="s">
        <v>206</v>
      </c>
      <c r="P54" t="s">
        <v>244</v>
      </c>
      <c r="Q54" t="s">
        <v>218</v>
      </c>
      <c r="R54">
        <v>0.78009284112923749</v>
      </c>
      <c r="S54" t="s">
        <v>237</v>
      </c>
      <c r="V54" t="str">
        <f t="shared" si="2"/>
        <v>Side table;Q2;0.780092841129237</v>
      </c>
    </row>
    <row r="55" spans="2:22" x14ac:dyDescent="0.3">
      <c r="B55" t="s">
        <v>217</v>
      </c>
      <c r="C55">
        <f>'(Double) bed'!AA22</f>
        <v>0.34764191819865048</v>
      </c>
      <c r="D55">
        <f>'(Double) bed'!AB22</f>
        <v>0.62375390025574795</v>
      </c>
      <c r="P55" t="s">
        <v>244</v>
      </c>
      <c r="Q55" t="s">
        <v>219</v>
      </c>
      <c r="R55">
        <v>0.86897556295804002</v>
      </c>
      <c r="S55" t="s">
        <v>237</v>
      </c>
      <c r="V55" t="str">
        <f t="shared" si="2"/>
        <v>Side table;Q3;0.86897556295804</v>
      </c>
    </row>
    <row r="56" spans="2:22" x14ac:dyDescent="0.3">
      <c r="B56" t="s">
        <v>218</v>
      </c>
      <c r="C56">
        <f>'(Double) bed'!AA23</f>
        <v>0.4999175173083924</v>
      </c>
      <c r="D56">
        <f>'(Double) bed'!AB23</f>
        <v>0.77689287599175916</v>
      </c>
      <c r="P56" t="s">
        <v>244</v>
      </c>
      <c r="Q56" t="s">
        <v>220</v>
      </c>
      <c r="R56">
        <v>1.0792089655585537</v>
      </c>
      <c r="S56" t="s">
        <v>237</v>
      </c>
      <c r="V56" t="str">
        <f t="shared" si="2"/>
        <v>Side table;Q4;1.07920896555855</v>
      </c>
    </row>
    <row r="57" spans="2:22" x14ac:dyDescent="0.3">
      <c r="B57" t="s">
        <v>219</v>
      </c>
      <c r="C57">
        <f>'(Double) bed'!AA24</f>
        <v>0.63116093513529781</v>
      </c>
      <c r="D57">
        <f>'(Double) bed'!AB24</f>
        <v>0.89737738873377593</v>
      </c>
      <c r="P57" t="s">
        <v>244</v>
      </c>
      <c r="Q57" t="s">
        <v>221</v>
      </c>
      <c r="R57">
        <v>1.6965079566963741</v>
      </c>
      <c r="S57" t="s">
        <v>237</v>
      </c>
      <c r="V57" t="str">
        <f t="shared" si="2"/>
        <v>Side table;Q5;1.69650795669637</v>
      </c>
    </row>
    <row r="58" spans="2:22" x14ac:dyDescent="0.3">
      <c r="B58" t="s">
        <v>220</v>
      </c>
      <c r="C58">
        <f>'(Double) bed'!AA25</f>
        <v>1.0432334808045822</v>
      </c>
      <c r="D58">
        <f>'(Double) bed'!AB25</f>
        <v>0.95359642523730315</v>
      </c>
      <c r="P58" t="s">
        <v>245</v>
      </c>
      <c r="Q58" t="s">
        <v>217</v>
      </c>
      <c r="R58">
        <v>0.65075853745543799</v>
      </c>
      <c r="S58" t="s">
        <v>237</v>
      </c>
      <c r="V58" t="str">
        <f t="shared" si="2"/>
        <v>Sofa;Q1;0.650758537455438</v>
      </c>
    </row>
    <row r="59" spans="2:22" x14ac:dyDescent="0.3">
      <c r="B59" t="s">
        <v>221</v>
      </c>
      <c r="C59">
        <f>'(Double) bed'!AA26</f>
        <v>2.4780461485530774</v>
      </c>
      <c r="D59">
        <f>'(Double) bed'!AB26</f>
        <v>1.748379409781416</v>
      </c>
      <c r="P59" t="s">
        <v>245</v>
      </c>
      <c r="Q59" t="s">
        <v>218</v>
      </c>
      <c r="R59">
        <v>0.78009284112923749</v>
      </c>
      <c r="S59" t="s">
        <v>237</v>
      </c>
      <c r="V59" t="str">
        <f t="shared" si="2"/>
        <v>Sofa;Q2;0.780092841129237</v>
      </c>
    </row>
    <row r="60" spans="2:22" x14ac:dyDescent="0.3">
      <c r="P60" t="s">
        <v>245</v>
      </c>
      <c r="Q60" t="s">
        <v>219</v>
      </c>
      <c r="R60">
        <v>0.86897556295804002</v>
      </c>
      <c r="S60" t="s">
        <v>237</v>
      </c>
      <c r="V60" t="str">
        <f t="shared" si="2"/>
        <v>Sofa;Q3;0.86897556295804</v>
      </c>
    </row>
    <row r="61" spans="2:22" x14ac:dyDescent="0.3">
      <c r="P61" t="s">
        <v>245</v>
      </c>
      <c r="Q61" t="s">
        <v>220</v>
      </c>
      <c r="R61">
        <v>1.0792089655585537</v>
      </c>
      <c r="S61" t="s">
        <v>237</v>
      </c>
      <c r="V61" t="str">
        <f t="shared" si="2"/>
        <v>Sofa;Q4;1.07920896555855</v>
      </c>
    </row>
    <row r="62" spans="2:22" x14ac:dyDescent="0.3">
      <c r="P62" t="s">
        <v>245</v>
      </c>
      <c r="Q62" t="s">
        <v>221</v>
      </c>
      <c r="R62">
        <v>1.6965079566963741</v>
      </c>
      <c r="S62" t="s">
        <v>237</v>
      </c>
      <c r="V62" t="str">
        <f t="shared" si="2"/>
        <v>Sofa;Q5;1.69650795669637</v>
      </c>
    </row>
    <row r="63" spans="2:22" x14ac:dyDescent="0.3">
      <c r="P63" t="s">
        <v>246</v>
      </c>
      <c r="Q63" t="s">
        <v>217</v>
      </c>
      <c r="R63">
        <v>0.65075853745543799</v>
      </c>
      <c r="S63" t="s">
        <v>237</v>
      </c>
      <c r="V63" t="str">
        <f t="shared" si="2"/>
        <v>Stool;Q1;0.650758537455438</v>
      </c>
    </row>
    <row r="64" spans="2:22" x14ac:dyDescent="0.3">
      <c r="P64" t="s">
        <v>246</v>
      </c>
      <c r="Q64" t="s">
        <v>218</v>
      </c>
      <c r="R64">
        <v>0.78009284112923749</v>
      </c>
      <c r="S64" t="s">
        <v>237</v>
      </c>
      <c r="V64" t="str">
        <f t="shared" si="2"/>
        <v>Stool;Q2;0.780092841129237</v>
      </c>
    </row>
    <row r="65" spans="16:22" x14ac:dyDescent="0.3">
      <c r="P65" t="s">
        <v>246</v>
      </c>
      <c r="Q65" t="s">
        <v>219</v>
      </c>
      <c r="R65">
        <v>0.86897556295804002</v>
      </c>
      <c r="S65" t="s">
        <v>237</v>
      </c>
      <c r="V65" t="str">
        <f t="shared" si="2"/>
        <v>Stool;Q3;0.86897556295804</v>
      </c>
    </row>
    <row r="66" spans="16:22" x14ac:dyDescent="0.3">
      <c r="P66" t="s">
        <v>246</v>
      </c>
      <c r="Q66" t="s">
        <v>220</v>
      </c>
      <c r="R66">
        <v>1.0792089655585537</v>
      </c>
      <c r="S66" t="s">
        <v>237</v>
      </c>
      <c r="V66" t="str">
        <f t="shared" si="2"/>
        <v>Stool;Q4;1.07920896555855</v>
      </c>
    </row>
    <row r="67" spans="16:22" x14ac:dyDescent="0.3">
      <c r="P67" t="s">
        <v>246</v>
      </c>
      <c r="Q67" t="s">
        <v>221</v>
      </c>
      <c r="R67">
        <v>1.6965079566963741</v>
      </c>
      <c r="S67" t="s">
        <v>237</v>
      </c>
      <c r="V67" t="str">
        <f t="shared" ref="V67:V72" si="3">P67&amp;";"&amp;Q67&amp;";"&amp;R67</f>
        <v>Stool;Q5;1.69650795669637</v>
      </c>
    </row>
    <row r="68" spans="16:22" x14ac:dyDescent="0.3">
      <c r="P68" t="s">
        <v>247</v>
      </c>
      <c r="Q68" t="s">
        <v>217</v>
      </c>
      <c r="R68">
        <v>0.65075853745543799</v>
      </c>
      <c r="S68" t="s">
        <v>237</v>
      </c>
      <c r="V68" t="str">
        <f t="shared" si="3"/>
        <v>Container;Q1;0.650758537455438</v>
      </c>
    </row>
    <row r="69" spans="16:22" x14ac:dyDescent="0.3">
      <c r="P69" t="s">
        <v>247</v>
      </c>
      <c r="Q69" t="s">
        <v>218</v>
      </c>
      <c r="R69">
        <v>0.78009284112923749</v>
      </c>
      <c r="S69" t="s">
        <v>237</v>
      </c>
      <c r="V69" t="str">
        <f t="shared" si="3"/>
        <v>Container;Q2;0.780092841129237</v>
      </c>
    </row>
    <row r="70" spans="16:22" x14ac:dyDescent="0.3">
      <c r="P70" t="s">
        <v>247</v>
      </c>
      <c r="Q70" t="s">
        <v>219</v>
      </c>
      <c r="R70">
        <v>0.86897556295804002</v>
      </c>
      <c r="S70" t="s">
        <v>237</v>
      </c>
      <c r="V70" t="str">
        <f t="shared" si="3"/>
        <v>Container;Q3;0.86897556295804</v>
      </c>
    </row>
    <row r="71" spans="16:22" x14ac:dyDescent="0.3">
      <c r="P71" t="s">
        <v>247</v>
      </c>
      <c r="Q71" t="s">
        <v>220</v>
      </c>
      <c r="R71">
        <v>1.0792089655585537</v>
      </c>
      <c r="S71" t="s">
        <v>237</v>
      </c>
      <c r="V71" t="str">
        <f t="shared" si="3"/>
        <v>Container;Q4;1.07920896555855</v>
      </c>
    </row>
    <row r="72" spans="16:22" x14ac:dyDescent="0.3">
      <c r="P72" t="s">
        <v>247</v>
      </c>
      <c r="Q72" t="s">
        <v>221</v>
      </c>
      <c r="R72">
        <v>1.6965079566963741</v>
      </c>
      <c r="S72" t="s">
        <v>237</v>
      </c>
      <c r="V72" t="str">
        <f t="shared" si="3"/>
        <v>Container;Q5;1.69650795669637</v>
      </c>
    </row>
  </sheetData>
  <phoneticPr fontId="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E0767-6CF0-4C86-B17C-FDCD780C12BA}">
  <dimension ref="A1:R55"/>
  <sheetViews>
    <sheetView zoomScale="55" zoomScaleNormal="55" workbookViewId="0">
      <selection activeCell="K8" sqref="K8"/>
    </sheetView>
  </sheetViews>
  <sheetFormatPr defaultRowHeight="14.4" x14ac:dyDescent="0.3"/>
  <sheetData>
    <row r="1" spans="1:18" x14ac:dyDescent="0.3">
      <c r="C1" t="s">
        <v>0</v>
      </c>
      <c r="H1" t="s">
        <v>249</v>
      </c>
      <c r="I1" t="s">
        <v>250</v>
      </c>
      <c r="L1" t="s">
        <v>204</v>
      </c>
      <c r="O1" s="3" t="s">
        <v>207</v>
      </c>
      <c r="P1" s="10"/>
      <c r="Q1" s="10"/>
      <c r="R1" s="4"/>
    </row>
    <row r="2" spans="1:18" x14ac:dyDescent="0.3">
      <c r="A2" t="s">
        <v>1</v>
      </c>
      <c r="B2" t="s">
        <v>2</v>
      </c>
      <c r="C2" t="s">
        <v>3</v>
      </c>
      <c r="D2" t="s">
        <v>4</v>
      </c>
      <c r="E2" t="s">
        <v>5</v>
      </c>
      <c r="F2" t="s">
        <v>6</v>
      </c>
      <c r="G2" t="s">
        <v>7</v>
      </c>
      <c r="H2" t="s">
        <v>8</v>
      </c>
      <c r="J2" t="s">
        <v>9</v>
      </c>
      <c r="K2" t="s">
        <v>10</v>
      </c>
      <c r="L2" t="s">
        <v>205</v>
      </c>
      <c r="M2" t="s">
        <v>206</v>
      </c>
      <c r="O2" s="5" t="s">
        <v>205</v>
      </c>
      <c r="P2" s="9" t="s">
        <v>206</v>
      </c>
      <c r="Q2" s="9"/>
      <c r="R2" s="6"/>
    </row>
    <row r="3" spans="1:18" x14ac:dyDescent="0.3">
      <c r="A3">
        <v>1</v>
      </c>
      <c r="B3">
        <v>1</v>
      </c>
      <c r="C3" t="s">
        <v>11</v>
      </c>
      <c r="D3" t="s">
        <v>12</v>
      </c>
      <c r="E3">
        <v>30</v>
      </c>
      <c r="F3">
        <f>7.92+8.89</f>
        <v>16.810000000000002</v>
      </c>
      <c r="G3">
        <f>1.1*0.67</f>
        <v>0.7370000000000001</v>
      </c>
      <c r="H3">
        <v>4</v>
      </c>
      <c r="J3">
        <f t="shared" ref="J3:J34" si="0">E3/G3</f>
        <v>40.705563093622793</v>
      </c>
      <c r="K3">
        <f t="shared" ref="K3:K34" si="1">F3/G3</f>
        <v>22.808683853459971</v>
      </c>
      <c r="L3">
        <f>AVERAGE(J3:J13)</f>
        <v>92.855359889372949</v>
      </c>
      <c r="M3">
        <f>AVERAGE(K3:K13)</f>
        <v>21.971135854826233</v>
      </c>
      <c r="O3" s="5">
        <f>AVERAGE(J3:J55)</f>
        <v>384.34475149189785</v>
      </c>
      <c r="P3" s="9">
        <f>AVERAGE(K3:K55)</f>
        <v>39.329473751273113</v>
      </c>
      <c r="Q3" s="9"/>
      <c r="R3" s="6"/>
    </row>
    <row r="4" spans="1:18" x14ac:dyDescent="0.3">
      <c r="A4">
        <v>2</v>
      </c>
      <c r="B4">
        <v>1</v>
      </c>
      <c r="C4" t="s">
        <v>11</v>
      </c>
      <c r="D4" t="s">
        <v>13</v>
      </c>
      <c r="E4">
        <v>40</v>
      </c>
      <c r="F4">
        <f>12.2+9.52</f>
        <v>21.72</v>
      </c>
      <c r="G4">
        <f>1.25*0.75</f>
        <v>0.9375</v>
      </c>
      <c r="H4">
        <v>4</v>
      </c>
      <c r="J4">
        <f t="shared" si="0"/>
        <v>42.666666666666664</v>
      </c>
      <c r="K4">
        <f t="shared" si="1"/>
        <v>23.167999999999999</v>
      </c>
      <c r="O4" s="5"/>
      <c r="P4" s="9"/>
      <c r="Q4" s="9"/>
      <c r="R4" s="6"/>
    </row>
    <row r="5" spans="1:18" x14ac:dyDescent="0.3">
      <c r="A5">
        <v>3</v>
      </c>
      <c r="B5">
        <v>1</v>
      </c>
      <c r="C5" t="s">
        <v>11</v>
      </c>
      <c r="D5" t="s">
        <v>14</v>
      </c>
      <c r="E5">
        <v>50</v>
      </c>
      <c r="F5">
        <v>15.6</v>
      </c>
      <c r="G5">
        <f>1.2*0.75</f>
        <v>0.89999999999999991</v>
      </c>
      <c r="H5">
        <v>4</v>
      </c>
      <c r="J5">
        <f t="shared" si="0"/>
        <v>55.555555555555564</v>
      </c>
      <c r="K5">
        <f t="shared" si="1"/>
        <v>17.333333333333336</v>
      </c>
      <c r="O5" s="5"/>
      <c r="P5" s="9" t="s">
        <v>222</v>
      </c>
      <c r="Q5" s="9"/>
      <c r="R5" s="6"/>
    </row>
    <row r="6" spans="1:18" x14ac:dyDescent="0.3">
      <c r="A6">
        <v>4</v>
      </c>
      <c r="B6">
        <v>1</v>
      </c>
      <c r="C6" t="s">
        <v>11</v>
      </c>
      <c r="D6" t="s">
        <v>15</v>
      </c>
      <c r="E6">
        <v>89</v>
      </c>
      <c r="F6">
        <f>17.6+8.5</f>
        <v>26.1</v>
      </c>
      <c r="G6">
        <f>1.5*0.78</f>
        <v>1.17</v>
      </c>
      <c r="H6">
        <v>4</v>
      </c>
      <c r="J6">
        <f t="shared" si="0"/>
        <v>76.068376068376068</v>
      </c>
      <c r="K6">
        <f t="shared" si="1"/>
        <v>22.30769230769231</v>
      </c>
      <c r="O6" s="5" t="s">
        <v>217</v>
      </c>
      <c r="P6" s="9">
        <f>L3</f>
        <v>92.855359889372949</v>
      </c>
      <c r="Q6" s="9">
        <f>M3</f>
        <v>21.971135854826233</v>
      </c>
      <c r="R6" s="6"/>
    </row>
    <row r="7" spans="1:18" x14ac:dyDescent="0.3">
      <c r="A7">
        <v>5</v>
      </c>
      <c r="B7">
        <v>1</v>
      </c>
      <c r="C7" t="s">
        <v>11</v>
      </c>
      <c r="D7" t="s">
        <v>16</v>
      </c>
      <c r="E7">
        <v>129</v>
      </c>
      <c r="F7">
        <f>23.9+8.5</f>
        <v>32.4</v>
      </c>
      <c r="G7">
        <f>1.85*0.9</f>
        <v>1.665</v>
      </c>
      <c r="H7">
        <v>4</v>
      </c>
      <c r="J7">
        <f t="shared" si="0"/>
        <v>77.477477477477478</v>
      </c>
      <c r="K7">
        <f t="shared" si="1"/>
        <v>19.45945945945946</v>
      </c>
      <c r="O7" s="5" t="s">
        <v>218</v>
      </c>
      <c r="P7" s="9">
        <f>L14</f>
        <v>208.0897212198436</v>
      </c>
      <c r="Q7" s="9">
        <f>M14</f>
        <v>27.945983802400644</v>
      </c>
      <c r="R7" s="6"/>
    </row>
    <row r="8" spans="1:18" x14ac:dyDescent="0.3">
      <c r="A8">
        <v>6</v>
      </c>
      <c r="B8">
        <v>1</v>
      </c>
      <c r="C8" t="s">
        <v>17</v>
      </c>
      <c r="D8" t="s">
        <v>18</v>
      </c>
      <c r="E8">
        <v>149</v>
      </c>
      <c r="F8">
        <v>34</v>
      </c>
      <c r="G8">
        <f>0.9*1.9</f>
        <v>1.71</v>
      </c>
      <c r="H8">
        <v>4</v>
      </c>
      <c r="J8">
        <f t="shared" si="0"/>
        <v>87.134502923976612</v>
      </c>
      <c r="K8">
        <f t="shared" si="1"/>
        <v>19.883040935672515</v>
      </c>
      <c r="O8" s="5" t="s">
        <v>219</v>
      </c>
      <c r="P8" s="9">
        <f>L25</f>
        <v>312.27466519516571</v>
      </c>
      <c r="Q8" s="9">
        <f>M25</f>
        <v>34.801995253384653</v>
      </c>
      <c r="R8" s="6"/>
    </row>
    <row r="9" spans="1:18" x14ac:dyDescent="0.3">
      <c r="A9">
        <v>7</v>
      </c>
      <c r="B9">
        <v>1</v>
      </c>
      <c r="C9" t="s">
        <v>11</v>
      </c>
      <c r="D9" t="s">
        <v>19</v>
      </c>
      <c r="E9">
        <v>90</v>
      </c>
      <c r="F9">
        <f>9+7.88</f>
        <v>16.88</v>
      </c>
      <c r="G9">
        <f>1.18*0.74</f>
        <v>0.87319999999999998</v>
      </c>
      <c r="H9">
        <v>4</v>
      </c>
      <c r="J9">
        <f t="shared" si="0"/>
        <v>103.06917086578103</v>
      </c>
      <c r="K9">
        <f t="shared" si="1"/>
        <v>19.331195602382042</v>
      </c>
      <c r="O9" s="5" t="s">
        <v>220</v>
      </c>
      <c r="P9" s="9">
        <f>L36</f>
        <v>433.8962039422567</v>
      </c>
      <c r="Q9" s="9">
        <f>M36</f>
        <v>43.658971916647346</v>
      </c>
      <c r="R9" s="6"/>
    </row>
    <row r="10" spans="1:18" x14ac:dyDescent="0.3">
      <c r="A10">
        <v>8</v>
      </c>
      <c r="B10">
        <v>1</v>
      </c>
      <c r="C10" t="s">
        <v>11</v>
      </c>
      <c r="D10" t="s">
        <v>20</v>
      </c>
      <c r="E10">
        <v>129</v>
      </c>
      <c r="F10">
        <f>23+3.8</f>
        <v>26.8</v>
      </c>
      <c r="G10">
        <f>1.4*0.78</f>
        <v>1.0919999999999999</v>
      </c>
      <c r="H10">
        <v>4</v>
      </c>
      <c r="J10">
        <f t="shared" si="0"/>
        <v>118.13186813186815</v>
      </c>
      <c r="K10">
        <f t="shared" si="1"/>
        <v>24.542124542124547</v>
      </c>
      <c r="O10" s="5" t="s">
        <v>221</v>
      </c>
      <c r="P10" s="9">
        <f>L47</f>
        <v>983.55515292861776</v>
      </c>
      <c r="Q10" s="9">
        <f>M47</f>
        <v>74.7003504130697</v>
      </c>
      <c r="R10" s="6"/>
    </row>
    <row r="11" spans="1:18" x14ac:dyDescent="0.3">
      <c r="A11">
        <v>9</v>
      </c>
      <c r="B11">
        <v>1</v>
      </c>
      <c r="C11" t="s">
        <v>11</v>
      </c>
      <c r="D11" t="s">
        <v>15</v>
      </c>
      <c r="E11">
        <v>149</v>
      </c>
      <c r="F11">
        <f>8.44+17.6</f>
        <v>26.04</v>
      </c>
      <c r="G11">
        <f>1.5*0.78</f>
        <v>1.17</v>
      </c>
      <c r="H11">
        <v>4</v>
      </c>
      <c r="J11">
        <f t="shared" si="0"/>
        <v>127.35042735042735</v>
      </c>
      <c r="K11">
        <f t="shared" si="1"/>
        <v>22.256410256410255</v>
      </c>
      <c r="O11" s="5"/>
      <c r="P11" s="9"/>
      <c r="Q11" s="9"/>
      <c r="R11" s="6"/>
    </row>
    <row r="12" spans="1:18" x14ac:dyDescent="0.3">
      <c r="A12">
        <v>10</v>
      </c>
      <c r="B12">
        <v>1</v>
      </c>
      <c r="C12" t="s">
        <v>11</v>
      </c>
      <c r="D12" t="s">
        <v>21</v>
      </c>
      <c r="E12">
        <v>129</v>
      </c>
      <c r="F12">
        <v>27.95</v>
      </c>
      <c r="G12">
        <f>1.25*0.75</f>
        <v>0.9375</v>
      </c>
      <c r="H12">
        <v>4</v>
      </c>
      <c r="J12">
        <f t="shared" si="0"/>
        <v>137.6</v>
      </c>
      <c r="K12">
        <f t="shared" si="1"/>
        <v>29.813333333333333</v>
      </c>
      <c r="O12" s="5"/>
      <c r="P12" s="9" t="s">
        <v>223</v>
      </c>
      <c r="Q12" s="9"/>
      <c r="R12" s="6"/>
    </row>
    <row r="13" spans="1:18" x14ac:dyDescent="0.3">
      <c r="A13">
        <v>11</v>
      </c>
      <c r="B13">
        <v>1</v>
      </c>
      <c r="C13" t="s">
        <v>22</v>
      </c>
      <c r="D13" t="s">
        <v>23</v>
      </c>
      <c r="E13">
        <v>119.85</v>
      </c>
      <c r="F13">
        <v>16</v>
      </c>
      <c r="G13">
        <f>1.1*0.7</f>
        <v>0.77</v>
      </c>
      <c r="J13">
        <f t="shared" si="0"/>
        <v>155.64935064935065</v>
      </c>
      <c r="K13">
        <f t="shared" si="1"/>
        <v>20.779220779220779</v>
      </c>
      <c r="O13" s="5"/>
      <c r="P13" s="9" t="s">
        <v>135</v>
      </c>
      <c r="Q13" s="9" t="s">
        <v>136</v>
      </c>
      <c r="R13" s="6"/>
    </row>
    <row r="14" spans="1:18" x14ac:dyDescent="0.3">
      <c r="A14">
        <v>12</v>
      </c>
      <c r="B14">
        <v>2</v>
      </c>
      <c r="C14" t="s">
        <v>11</v>
      </c>
      <c r="D14" t="s">
        <v>24</v>
      </c>
      <c r="E14">
        <v>149</v>
      </c>
      <c r="F14">
        <f>9+16.48</f>
        <v>25.48</v>
      </c>
      <c r="G14">
        <f>1.25*0.74</f>
        <v>0.92500000000000004</v>
      </c>
      <c r="H14">
        <v>4</v>
      </c>
      <c r="J14">
        <f t="shared" si="0"/>
        <v>161.08108108108107</v>
      </c>
      <c r="K14">
        <f t="shared" si="1"/>
        <v>27.545945945945945</v>
      </c>
      <c r="L14">
        <f>AVERAGE(J14:J24)</f>
        <v>208.0897212198436</v>
      </c>
      <c r="M14">
        <f>AVERAGE(K14:K24)</f>
        <v>27.945983802400644</v>
      </c>
      <c r="O14" s="5" t="s">
        <v>217</v>
      </c>
      <c r="P14" s="9">
        <f>P6/$O$3</f>
        <v>0.24159393234573773</v>
      </c>
      <c r="Q14" s="9">
        <f>Q6/$P$3</f>
        <v>0.55864301652688697</v>
      </c>
      <c r="R14" s="6"/>
    </row>
    <row r="15" spans="1:18" x14ac:dyDescent="0.3">
      <c r="A15">
        <v>13</v>
      </c>
      <c r="B15">
        <v>2</v>
      </c>
      <c r="C15" t="s">
        <v>17</v>
      </c>
      <c r="D15" t="s">
        <v>25</v>
      </c>
      <c r="E15">
        <v>299</v>
      </c>
      <c r="F15">
        <v>35</v>
      </c>
      <c r="G15">
        <f>2*0.9</f>
        <v>1.8</v>
      </c>
      <c r="H15">
        <v>4</v>
      </c>
      <c r="J15">
        <f t="shared" si="0"/>
        <v>166.11111111111111</v>
      </c>
      <c r="K15">
        <f t="shared" si="1"/>
        <v>19.444444444444443</v>
      </c>
      <c r="O15" s="5" t="s">
        <v>218</v>
      </c>
      <c r="P15" s="9">
        <f t="shared" ref="P15:P18" si="2">P7/$O$3</f>
        <v>0.54141423920089671</v>
      </c>
      <c r="Q15" s="9">
        <f t="shared" ref="Q15:Q18" si="3">Q7/$P$3</f>
        <v>0.71056083737952425</v>
      </c>
      <c r="R15" s="6"/>
    </row>
    <row r="16" spans="1:18" x14ac:dyDescent="0.3">
      <c r="A16">
        <v>14</v>
      </c>
      <c r="B16">
        <v>2</v>
      </c>
      <c r="C16" t="s">
        <v>11</v>
      </c>
      <c r="D16" t="s">
        <v>26</v>
      </c>
      <c r="E16">
        <v>159</v>
      </c>
      <c r="F16">
        <f>15.53+12.12</f>
        <v>27.65</v>
      </c>
      <c r="G16">
        <f>1.3*0.7</f>
        <v>0.90999999999999992</v>
      </c>
      <c r="H16">
        <v>4</v>
      </c>
      <c r="J16">
        <f t="shared" si="0"/>
        <v>174.72527472527474</v>
      </c>
      <c r="K16">
        <f t="shared" si="1"/>
        <v>30.384615384615387</v>
      </c>
      <c r="O16" s="5" t="s">
        <v>219</v>
      </c>
      <c r="P16" s="9">
        <f t="shared" si="2"/>
        <v>0.81248583201154656</v>
      </c>
      <c r="Q16" s="9">
        <f t="shared" si="3"/>
        <v>0.88488331863983039</v>
      </c>
      <c r="R16" s="6"/>
    </row>
    <row r="17" spans="1:18" x14ac:dyDescent="0.3">
      <c r="A17">
        <v>15</v>
      </c>
      <c r="B17">
        <v>2</v>
      </c>
      <c r="C17" t="s">
        <v>22</v>
      </c>
      <c r="D17" t="s">
        <v>27</v>
      </c>
      <c r="E17">
        <v>598</v>
      </c>
      <c r="F17">
        <v>57</v>
      </c>
      <c r="G17">
        <v>3</v>
      </c>
      <c r="J17">
        <f t="shared" si="0"/>
        <v>199.33333333333334</v>
      </c>
      <c r="K17">
        <f t="shared" si="1"/>
        <v>19</v>
      </c>
      <c r="O17" s="5" t="s">
        <v>220</v>
      </c>
      <c r="P17" s="9">
        <f t="shared" si="2"/>
        <v>1.1289244935907585</v>
      </c>
      <c r="Q17" s="9">
        <f t="shared" si="3"/>
        <v>1.110082789125397</v>
      </c>
      <c r="R17" s="6"/>
    </row>
    <row r="18" spans="1:18" x14ac:dyDescent="0.3">
      <c r="A18">
        <v>16</v>
      </c>
      <c r="B18">
        <v>2</v>
      </c>
      <c r="C18" t="s">
        <v>11</v>
      </c>
      <c r="D18" t="s">
        <v>28</v>
      </c>
      <c r="E18">
        <v>189</v>
      </c>
      <c r="F18">
        <f>22.65</f>
        <v>22.65</v>
      </c>
      <c r="G18">
        <f>0.95*0.95</f>
        <v>0.90249999999999997</v>
      </c>
      <c r="H18">
        <v>4</v>
      </c>
      <c r="J18">
        <f t="shared" si="0"/>
        <v>209.41828254847647</v>
      </c>
      <c r="K18">
        <f t="shared" si="1"/>
        <v>25.096952908587255</v>
      </c>
      <c r="O18" s="7" t="s">
        <v>221</v>
      </c>
      <c r="P18" s="11">
        <f t="shared" si="2"/>
        <v>2.5590440590401857</v>
      </c>
      <c r="Q18" s="11">
        <f t="shared" si="3"/>
        <v>1.8993478246235527</v>
      </c>
      <c r="R18" s="8"/>
    </row>
    <row r="19" spans="1:18" x14ac:dyDescent="0.3">
      <c r="A19">
        <v>17</v>
      </c>
      <c r="B19">
        <v>2</v>
      </c>
      <c r="C19" t="s">
        <v>22</v>
      </c>
      <c r="D19" t="s">
        <v>29</v>
      </c>
      <c r="E19">
        <v>353</v>
      </c>
      <c r="F19">
        <v>37</v>
      </c>
      <c r="G19">
        <f>1.635*1.015</f>
        <v>1.6595249999999999</v>
      </c>
      <c r="H19">
        <v>4</v>
      </c>
      <c r="J19">
        <f t="shared" si="0"/>
        <v>212.71146864313585</v>
      </c>
      <c r="K19">
        <f t="shared" si="1"/>
        <v>22.295536373359848</v>
      </c>
    </row>
    <row r="20" spans="1:18" x14ac:dyDescent="0.3">
      <c r="A20">
        <v>18</v>
      </c>
      <c r="B20">
        <v>2</v>
      </c>
      <c r="C20" t="s">
        <v>11</v>
      </c>
      <c r="D20" t="s">
        <v>30</v>
      </c>
      <c r="E20">
        <v>250</v>
      </c>
      <c r="F20">
        <f>15.56+19.34</f>
        <v>34.9</v>
      </c>
      <c r="G20">
        <f>1.5*0.78</f>
        <v>1.17</v>
      </c>
      <c r="H20">
        <v>4</v>
      </c>
      <c r="J20">
        <f t="shared" si="0"/>
        <v>213.67521367521368</v>
      </c>
      <c r="K20">
        <f t="shared" si="1"/>
        <v>29.82905982905983</v>
      </c>
    </row>
    <row r="21" spans="1:18" x14ac:dyDescent="0.3">
      <c r="A21">
        <v>19</v>
      </c>
      <c r="B21">
        <v>2</v>
      </c>
      <c r="C21" t="s">
        <v>11</v>
      </c>
      <c r="D21" t="s">
        <v>31</v>
      </c>
      <c r="E21">
        <v>279</v>
      </c>
      <c r="F21">
        <f>17*2+17.5</f>
        <v>51.5</v>
      </c>
      <c r="G21">
        <f>1.6*0.81</f>
        <v>1.2960000000000003</v>
      </c>
      <c r="H21">
        <v>6</v>
      </c>
      <c r="J21">
        <f t="shared" si="0"/>
        <v>215.27777777777774</v>
      </c>
      <c r="K21">
        <f t="shared" si="1"/>
        <v>39.737654320987644</v>
      </c>
    </row>
    <row r="22" spans="1:18" x14ac:dyDescent="0.3">
      <c r="A22">
        <v>20</v>
      </c>
      <c r="B22">
        <v>2</v>
      </c>
      <c r="C22" t="s">
        <v>11</v>
      </c>
      <c r="D22" t="s">
        <v>32</v>
      </c>
      <c r="E22">
        <v>299</v>
      </c>
      <c r="F22">
        <f>15.56+26.35</f>
        <v>41.910000000000004</v>
      </c>
      <c r="G22">
        <f>1.7*0.78</f>
        <v>1.3260000000000001</v>
      </c>
      <c r="H22">
        <v>4</v>
      </c>
      <c r="J22">
        <f t="shared" si="0"/>
        <v>225.49019607843135</v>
      </c>
      <c r="K22">
        <f t="shared" si="1"/>
        <v>31.606334841628961</v>
      </c>
    </row>
    <row r="23" spans="1:18" x14ac:dyDescent="0.3">
      <c r="A23">
        <v>21</v>
      </c>
      <c r="B23">
        <v>2</v>
      </c>
      <c r="C23" t="s">
        <v>17</v>
      </c>
      <c r="D23" t="s">
        <v>33</v>
      </c>
      <c r="E23">
        <v>449</v>
      </c>
      <c r="F23">
        <v>59</v>
      </c>
      <c r="G23">
        <f>2*0.9</f>
        <v>1.8</v>
      </c>
      <c r="H23">
        <v>4</v>
      </c>
      <c r="J23">
        <f t="shared" si="0"/>
        <v>249.44444444444443</v>
      </c>
      <c r="K23">
        <f t="shared" si="1"/>
        <v>32.777777777777779</v>
      </c>
    </row>
    <row r="24" spans="1:18" x14ac:dyDescent="0.3">
      <c r="A24">
        <v>22</v>
      </c>
      <c r="B24">
        <v>2</v>
      </c>
      <c r="C24" t="s">
        <v>22</v>
      </c>
      <c r="D24" t="s">
        <v>34</v>
      </c>
      <c r="E24">
        <v>335</v>
      </c>
      <c r="F24">
        <v>38</v>
      </c>
      <c r="G24">
        <f>1.6*0.8</f>
        <v>1.2800000000000002</v>
      </c>
      <c r="H24">
        <v>4</v>
      </c>
      <c r="J24">
        <f t="shared" si="0"/>
        <v>261.71874999999994</v>
      </c>
      <c r="K24">
        <f t="shared" si="1"/>
        <v>29.687499999999993</v>
      </c>
    </row>
    <row r="25" spans="1:18" x14ac:dyDescent="0.3">
      <c r="A25">
        <v>23</v>
      </c>
      <c r="B25">
        <v>3</v>
      </c>
      <c r="C25" t="s">
        <v>22</v>
      </c>
      <c r="D25" t="s">
        <v>35</v>
      </c>
      <c r="E25">
        <v>536</v>
      </c>
      <c r="F25">
        <v>105</v>
      </c>
      <c r="G25">
        <v>2</v>
      </c>
      <c r="J25">
        <f t="shared" si="0"/>
        <v>268</v>
      </c>
      <c r="K25">
        <f t="shared" si="1"/>
        <v>52.5</v>
      </c>
      <c r="L25">
        <f>AVERAGE(J25:J35)</f>
        <v>312.27466519516571</v>
      </c>
      <c r="M25">
        <f>AVERAGE(K25:K35)</f>
        <v>34.801995253384653</v>
      </c>
    </row>
    <row r="26" spans="1:18" x14ac:dyDescent="0.3">
      <c r="A26">
        <v>24</v>
      </c>
      <c r="B26">
        <v>3</v>
      </c>
      <c r="C26" t="s">
        <v>22</v>
      </c>
      <c r="D26" t="s">
        <v>36</v>
      </c>
      <c r="E26">
        <v>544</v>
      </c>
      <c r="F26">
        <v>99</v>
      </c>
      <c r="G26">
        <v>2</v>
      </c>
      <c r="J26">
        <f t="shared" si="0"/>
        <v>272</v>
      </c>
      <c r="K26">
        <f t="shared" si="1"/>
        <v>49.5</v>
      </c>
    </row>
    <row r="27" spans="1:18" x14ac:dyDescent="0.3">
      <c r="A27">
        <v>25</v>
      </c>
      <c r="B27">
        <v>3</v>
      </c>
      <c r="C27" t="s">
        <v>11</v>
      </c>
      <c r="D27" t="s">
        <v>37</v>
      </c>
      <c r="E27">
        <v>599</v>
      </c>
      <c r="F27">
        <f>28.9*2+28.57</f>
        <v>86.37</v>
      </c>
      <c r="G27">
        <f>2.2</f>
        <v>2.2000000000000002</v>
      </c>
      <c r="H27">
        <v>6</v>
      </c>
      <c r="J27">
        <f t="shared" si="0"/>
        <v>272.27272727272725</v>
      </c>
      <c r="K27">
        <f t="shared" si="1"/>
        <v>39.259090909090908</v>
      </c>
    </row>
    <row r="28" spans="1:18" x14ac:dyDescent="0.3">
      <c r="A28">
        <v>26</v>
      </c>
      <c r="B28">
        <v>3</v>
      </c>
      <c r="C28" t="s">
        <v>38</v>
      </c>
      <c r="D28" t="s">
        <v>39</v>
      </c>
      <c r="E28">
        <v>479</v>
      </c>
      <c r="F28">
        <v>56.6</v>
      </c>
      <c r="G28">
        <f>1.3*1.3</f>
        <v>1.6900000000000002</v>
      </c>
      <c r="H28">
        <v>4</v>
      </c>
      <c r="J28">
        <f t="shared" si="0"/>
        <v>283.43195266272187</v>
      </c>
      <c r="K28">
        <f t="shared" si="1"/>
        <v>33.491124260355029</v>
      </c>
    </row>
    <row r="29" spans="1:18" x14ac:dyDescent="0.3">
      <c r="A29">
        <v>27</v>
      </c>
      <c r="B29">
        <v>3</v>
      </c>
      <c r="C29" t="s">
        <v>38</v>
      </c>
      <c r="D29" t="s">
        <v>40</v>
      </c>
      <c r="E29">
        <v>399</v>
      </c>
      <c r="F29">
        <v>20.8</v>
      </c>
      <c r="G29">
        <f>0.75*1.85</f>
        <v>1.3875000000000002</v>
      </c>
      <c r="H29">
        <v>4</v>
      </c>
      <c r="J29">
        <f t="shared" si="0"/>
        <v>287.56756756756755</v>
      </c>
      <c r="K29">
        <f t="shared" si="1"/>
        <v>14.990990990990989</v>
      </c>
    </row>
    <row r="30" spans="1:18" x14ac:dyDescent="0.3">
      <c r="A30">
        <v>28</v>
      </c>
      <c r="B30">
        <v>3</v>
      </c>
      <c r="C30" t="s">
        <v>22</v>
      </c>
      <c r="D30" t="s">
        <v>41</v>
      </c>
      <c r="E30">
        <v>898</v>
      </c>
      <c r="F30">
        <v>87</v>
      </c>
      <c r="G30">
        <v>3</v>
      </c>
      <c r="J30">
        <f t="shared" si="0"/>
        <v>299.33333333333331</v>
      </c>
      <c r="K30">
        <f t="shared" si="1"/>
        <v>29</v>
      </c>
    </row>
    <row r="31" spans="1:18" x14ac:dyDescent="0.3">
      <c r="A31">
        <v>29</v>
      </c>
      <c r="B31">
        <v>3</v>
      </c>
      <c r="C31" t="s">
        <v>22</v>
      </c>
      <c r="D31" t="s">
        <v>42</v>
      </c>
      <c r="E31">
        <v>648</v>
      </c>
      <c r="F31">
        <v>61</v>
      </c>
      <c r="G31">
        <v>2</v>
      </c>
      <c r="J31">
        <f t="shared" si="0"/>
        <v>324</v>
      </c>
      <c r="K31">
        <f t="shared" si="1"/>
        <v>30.5</v>
      </c>
    </row>
    <row r="32" spans="1:18" x14ac:dyDescent="0.3">
      <c r="A32">
        <v>30</v>
      </c>
      <c r="B32">
        <v>3</v>
      </c>
      <c r="C32" t="s">
        <v>11</v>
      </c>
      <c r="D32" t="s">
        <v>43</v>
      </c>
      <c r="E32">
        <v>499</v>
      </c>
      <c r="F32">
        <f>10.61+26.2</f>
        <v>36.81</v>
      </c>
      <c r="G32">
        <f>1.6*0.95</f>
        <v>1.52</v>
      </c>
      <c r="H32">
        <v>4</v>
      </c>
      <c r="J32">
        <f t="shared" si="0"/>
        <v>328.28947368421052</v>
      </c>
      <c r="K32">
        <f t="shared" si="1"/>
        <v>24.217105263157897</v>
      </c>
    </row>
    <row r="33" spans="1:13" x14ac:dyDescent="0.3">
      <c r="A33">
        <v>31</v>
      </c>
      <c r="B33">
        <v>3</v>
      </c>
      <c r="C33" t="s">
        <v>22</v>
      </c>
      <c r="D33" t="s">
        <v>44</v>
      </c>
      <c r="E33">
        <v>526</v>
      </c>
      <c r="F33">
        <v>44</v>
      </c>
      <c r="G33">
        <f>1.6*0.9</f>
        <v>1.4400000000000002</v>
      </c>
      <c r="J33">
        <f t="shared" si="0"/>
        <v>365.27777777777771</v>
      </c>
      <c r="K33">
        <f t="shared" si="1"/>
        <v>30.555555555555554</v>
      </c>
    </row>
    <row r="34" spans="1:13" x14ac:dyDescent="0.3">
      <c r="A34">
        <v>32</v>
      </c>
      <c r="B34">
        <v>3</v>
      </c>
      <c r="C34" t="s">
        <v>22</v>
      </c>
      <c r="D34" t="s">
        <v>45</v>
      </c>
      <c r="E34">
        <v>1100</v>
      </c>
      <c r="F34">
        <v>119</v>
      </c>
      <c r="G34">
        <v>3</v>
      </c>
      <c r="J34">
        <f t="shared" si="0"/>
        <v>366.66666666666669</v>
      </c>
      <c r="K34">
        <f t="shared" si="1"/>
        <v>39.666666666666664</v>
      </c>
    </row>
    <row r="35" spans="1:13" x14ac:dyDescent="0.3">
      <c r="A35">
        <v>33</v>
      </c>
      <c r="B35">
        <v>3</v>
      </c>
      <c r="C35" t="s">
        <v>38</v>
      </c>
      <c r="D35" t="s">
        <v>46</v>
      </c>
      <c r="E35">
        <v>729</v>
      </c>
      <c r="F35">
        <v>77.5</v>
      </c>
      <c r="G35">
        <f>2.2*0.9</f>
        <v>1.9800000000000002</v>
      </c>
      <c r="H35">
        <v>6</v>
      </c>
      <c r="J35">
        <f t="shared" ref="J35:J55" si="4">E35/G35</f>
        <v>368.18181818181813</v>
      </c>
      <c r="K35">
        <f t="shared" ref="K35:K55" si="5">F35/G35</f>
        <v>39.141414141414138</v>
      </c>
    </row>
    <row r="36" spans="1:13" x14ac:dyDescent="0.3">
      <c r="A36">
        <v>34</v>
      </c>
      <c r="B36">
        <v>4</v>
      </c>
      <c r="C36" t="s">
        <v>22</v>
      </c>
      <c r="D36" t="s">
        <v>45</v>
      </c>
      <c r="E36">
        <v>848</v>
      </c>
      <c r="F36">
        <v>21</v>
      </c>
      <c r="G36">
        <f>2.4*0.95</f>
        <v>2.2799999999999998</v>
      </c>
      <c r="J36">
        <f t="shared" si="4"/>
        <v>371.92982456140356</v>
      </c>
      <c r="K36">
        <f t="shared" si="5"/>
        <v>9.2105263157894743</v>
      </c>
      <c r="L36">
        <f>AVERAGE(J36:J46)</f>
        <v>433.8962039422567</v>
      </c>
      <c r="M36">
        <f>AVERAGE(K36:K46)</f>
        <v>43.658971916647346</v>
      </c>
    </row>
    <row r="37" spans="1:13" x14ac:dyDescent="0.3">
      <c r="A37">
        <v>35</v>
      </c>
      <c r="B37">
        <v>4</v>
      </c>
      <c r="C37" t="s">
        <v>38</v>
      </c>
      <c r="D37" t="s">
        <v>47</v>
      </c>
      <c r="E37">
        <v>699</v>
      </c>
      <c r="F37">
        <v>48.8</v>
      </c>
      <c r="G37">
        <f>2*0.9</f>
        <v>1.8</v>
      </c>
      <c r="H37">
        <v>6</v>
      </c>
      <c r="J37">
        <f t="shared" si="4"/>
        <v>388.33333333333331</v>
      </c>
      <c r="K37">
        <f t="shared" si="5"/>
        <v>27.111111111111107</v>
      </c>
    </row>
    <row r="38" spans="1:13" x14ac:dyDescent="0.3">
      <c r="A38">
        <v>36</v>
      </c>
      <c r="B38">
        <v>4</v>
      </c>
      <c r="C38" t="s">
        <v>22</v>
      </c>
      <c r="D38" t="s">
        <v>48</v>
      </c>
      <c r="E38">
        <v>630</v>
      </c>
      <c r="F38">
        <v>89</v>
      </c>
      <c r="G38">
        <f>1.8*0.9</f>
        <v>1.62</v>
      </c>
      <c r="J38">
        <f t="shared" si="4"/>
        <v>388.88888888888886</v>
      </c>
      <c r="K38">
        <f t="shared" si="5"/>
        <v>54.938271604938265</v>
      </c>
    </row>
    <row r="39" spans="1:13" x14ac:dyDescent="0.3">
      <c r="A39">
        <v>37</v>
      </c>
      <c r="B39">
        <v>4</v>
      </c>
      <c r="C39" t="s">
        <v>22</v>
      </c>
      <c r="D39" t="s">
        <v>49</v>
      </c>
      <c r="E39">
        <v>990</v>
      </c>
      <c r="F39">
        <v>101</v>
      </c>
      <c r="G39">
        <f>2.4*1</f>
        <v>2.4</v>
      </c>
      <c r="J39">
        <f t="shared" si="4"/>
        <v>412.5</v>
      </c>
      <c r="K39">
        <f t="shared" si="5"/>
        <v>42.083333333333336</v>
      </c>
    </row>
    <row r="40" spans="1:13" x14ac:dyDescent="0.3">
      <c r="A40">
        <v>38</v>
      </c>
      <c r="B40">
        <v>4</v>
      </c>
      <c r="C40" t="s">
        <v>22</v>
      </c>
      <c r="D40" t="s">
        <v>65</v>
      </c>
      <c r="E40">
        <v>392</v>
      </c>
      <c r="F40">
        <v>43</v>
      </c>
      <c r="G40">
        <f>1.2*0.78</f>
        <v>0.93599999999999994</v>
      </c>
      <c r="J40">
        <f t="shared" si="4"/>
        <v>418.80341880341882</v>
      </c>
      <c r="K40">
        <f t="shared" si="5"/>
        <v>45.940170940170944</v>
      </c>
    </row>
    <row r="41" spans="1:13" x14ac:dyDescent="0.3">
      <c r="A41">
        <v>39</v>
      </c>
      <c r="B41">
        <v>4</v>
      </c>
      <c r="C41" t="s">
        <v>22</v>
      </c>
      <c r="D41" t="s">
        <v>50</v>
      </c>
      <c r="E41">
        <v>625.53</v>
      </c>
      <c r="F41">
        <v>70.3</v>
      </c>
      <c r="G41">
        <f>1.6*0.9</f>
        <v>1.4400000000000002</v>
      </c>
      <c r="J41">
        <f t="shared" si="4"/>
        <v>434.39583333333326</v>
      </c>
      <c r="K41">
        <f t="shared" si="5"/>
        <v>48.819444444444436</v>
      </c>
    </row>
    <row r="42" spans="1:13" x14ac:dyDescent="0.3">
      <c r="A42">
        <v>40</v>
      </c>
      <c r="B42">
        <v>4</v>
      </c>
      <c r="C42" t="s">
        <v>22</v>
      </c>
      <c r="D42" t="s">
        <v>51</v>
      </c>
      <c r="E42">
        <v>639</v>
      </c>
      <c r="F42">
        <v>73</v>
      </c>
      <c r="G42">
        <f>1.6*0.9</f>
        <v>1.4400000000000002</v>
      </c>
      <c r="J42">
        <f t="shared" si="4"/>
        <v>443.74999999999994</v>
      </c>
      <c r="K42">
        <f t="shared" si="5"/>
        <v>50.694444444444436</v>
      </c>
    </row>
    <row r="43" spans="1:13" x14ac:dyDescent="0.3">
      <c r="A43">
        <v>41</v>
      </c>
      <c r="B43">
        <v>4</v>
      </c>
      <c r="C43" t="s">
        <v>22</v>
      </c>
      <c r="D43" t="s">
        <v>52</v>
      </c>
      <c r="E43">
        <v>1100</v>
      </c>
      <c r="F43">
        <v>101</v>
      </c>
      <c r="G43">
        <f>2.4</f>
        <v>2.4</v>
      </c>
      <c r="J43">
        <f t="shared" si="4"/>
        <v>458.33333333333337</v>
      </c>
      <c r="K43">
        <f t="shared" si="5"/>
        <v>42.083333333333336</v>
      </c>
    </row>
    <row r="44" spans="1:13" x14ac:dyDescent="0.3">
      <c r="A44">
        <v>42</v>
      </c>
      <c r="B44">
        <v>4</v>
      </c>
      <c r="C44" t="s">
        <v>22</v>
      </c>
      <c r="D44" t="s">
        <v>53</v>
      </c>
      <c r="E44">
        <v>1100</v>
      </c>
      <c r="F44">
        <v>125.4</v>
      </c>
      <c r="G44">
        <f>2.4*1</f>
        <v>2.4</v>
      </c>
      <c r="J44">
        <f t="shared" si="4"/>
        <v>458.33333333333337</v>
      </c>
      <c r="K44">
        <f t="shared" si="5"/>
        <v>52.250000000000007</v>
      </c>
    </row>
    <row r="45" spans="1:13" x14ac:dyDescent="0.3">
      <c r="A45">
        <v>43</v>
      </c>
      <c r="B45">
        <v>4</v>
      </c>
      <c r="C45" t="s">
        <v>22</v>
      </c>
      <c r="D45" t="s">
        <v>54</v>
      </c>
      <c r="E45">
        <v>700</v>
      </c>
      <c r="F45">
        <v>53</v>
      </c>
      <c r="G45">
        <f>1.6*0.9</f>
        <v>1.4400000000000002</v>
      </c>
      <c r="J45">
        <f t="shared" si="4"/>
        <v>486.11111111111103</v>
      </c>
      <c r="K45">
        <f t="shared" si="5"/>
        <v>36.80555555555555</v>
      </c>
    </row>
    <row r="46" spans="1:13" x14ac:dyDescent="0.3">
      <c r="A46">
        <v>44</v>
      </c>
      <c r="B46">
        <v>4</v>
      </c>
      <c r="C46" t="s">
        <v>22</v>
      </c>
      <c r="D46" t="s">
        <v>55</v>
      </c>
      <c r="E46">
        <v>491.02</v>
      </c>
      <c r="F46">
        <v>67.5</v>
      </c>
      <c r="G46">
        <f>1.2*0.8</f>
        <v>0.96</v>
      </c>
      <c r="J46">
        <f t="shared" si="4"/>
        <v>511.47916666666669</v>
      </c>
      <c r="K46">
        <f t="shared" si="5"/>
        <v>70.3125</v>
      </c>
    </row>
    <row r="47" spans="1:13" x14ac:dyDescent="0.3">
      <c r="A47">
        <v>45</v>
      </c>
      <c r="B47">
        <v>5</v>
      </c>
      <c r="C47" t="s">
        <v>22</v>
      </c>
      <c r="D47" t="s">
        <v>56</v>
      </c>
      <c r="E47">
        <v>798</v>
      </c>
      <c r="F47">
        <v>42.3</v>
      </c>
      <c r="G47">
        <f>1.6*0.9</f>
        <v>1.4400000000000002</v>
      </c>
      <c r="J47">
        <f t="shared" si="4"/>
        <v>554.16666666666663</v>
      </c>
      <c r="K47">
        <f t="shared" si="5"/>
        <v>29.374999999999993</v>
      </c>
      <c r="L47">
        <f>AVERAGE(J47:J55)</f>
        <v>983.55515292861776</v>
      </c>
      <c r="M47">
        <f>AVERAGE(K47:K55)</f>
        <v>74.7003504130697</v>
      </c>
    </row>
    <row r="48" spans="1:13" x14ac:dyDescent="0.3">
      <c r="A48">
        <v>46</v>
      </c>
      <c r="B48">
        <v>5</v>
      </c>
      <c r="C48" t="s">
        <v>22</v>
      </c>
      <c r="D48" t="s">
        <v>57</v>
      </c>
      <c r="E48">
        <v>1393.5</v>
      </c>
      <c r="F48">
        <v>133</v>
      </c>
      <c r="G48">
        <v>1.8</v>
      </c>
      <c r="J48">
        <f t="shared" si="4"/>
        <v>774.16666666666663</v>
      </c>
      <c r="K48">
        <f t="shared" si="5"/>
        <v>73.888888888888886</v>
      </c>
    </row>
    <row r="49" spans="1:11" x14ac:dyDescent="0.3">
      <c r="A49">
        <v>47</v>
      </c>
      <c r="B49">
        <v>5</v>
      </c>
      <c r="C49" t="s">
        <v>22</v>
      </c>
      <c r="D49" t="s">
        <v>58</v>
      </c>
      <c r="E49">
        <v>1499.96</v>
      </c>
      <c r="F49">
        <v>118.6</v>
      </c>
      <c r="G49">
        <f>1.8*0.95</f>
        <v>1.71</v>
      </c>
      <c r="H49">
        <v>4</v>
      </c>
      <c r="J49">
        <f t="shared" si="4"/>
        <v>877.16959064327489</v>
      </c>
      <c r="K49">
        <f t="shared" si="5"/>
        <v>69.356725146198826</v>
      </c>
    </row>
    <row r="50" spans="1:11" x14ac:dyDescent="0.3">
      <c r="A50">
        <v>48</v>
      </c>
      <c r="B50">
        <v>5</v>
      </c>
      <c r="C50" t="s">
        <v>22</v>
      </c>
      <c r="D50" t="s">
        <v>59</v>
      </c>
      <c r="E50">
        <v>1647.29</v>
      </c>
      <c r="F50">
        <v>133</v>
      </c>
      <c r="G50">
        <f>1.8</f>
        <v>1.8</v>
      </c>
      <c r="J50">
        <f t="shared" si="4"/>
        <v>915.16111111111104</v>
      </c>
      <c r="K50">
        <f t="shared" si="5"/>
        <v>73.888888888888886</v>
      </c>
    </row>
    <row r="51" spans="1:11" x14ac:dyDescent="0.3">
      <c r="A51">
        <v>49</v>
      </c>
      <c r="B51">
        <v>5</v>
      </c>
      <c r="C51" t="s">
        <v>22</v>
      </c>
      <c r="D51" t="s">
        <v>60</v>
      </c>
      <c r="E51">
        <v>1455.13</v>
      </c>
      <c r="F51">
        <v>103</v>
      </c>
      <c r="G51">
        <f>1.6*0.9</f>
        <v>1.4400000000000002</v>
      </c>
      <c r="J51">
        <f t="shared" si="4"/>
        <v>1010.5069444444445</v>
      </c>
      <c r="K51">
        <f t="shared" si="5"/>
        <v>71.527777777777771</v>
      </c>
    </row>
    <row r="52" spans="1:11" x14ac:dyDescent="0.3">
      <c r="A52">
        <v>50</v>
      </c>
      <c r="B52">
        <v>5</v>
      </c>
      <c r="C52" t="s">
        <v>22</v>
      </c>
      <c r="D52" t="s">
        <v>61</v>
      </c>
      <c r="E52">
        <v>1612.06</v>
      </c>
      <c r="F52">
        <v>119.5</v>
      </c>
      <c r="G52">
        <f>1.6*0.9</f>
        <v>1.4400000000000002</v>
      </c>
      <c r="J52">
        <f t="shared" si="4"/>
        <v>1119.4861111111109</v>
      </c>
      <c r="K52">
        <f t="shared" si="5"/>
        <v>82.9861111111111</v>
      </c>
    </row>
    <row r="53" spans="1:11" x14ac:dyDescent="0.3">
      <c r="A53">
        <v>51</v>
      </c>
      <c r="B53">
        <v>5</v>
      </c>
      <c r="C53" t="s">
        <v>22</v>
      </c>
      <c r="D53" t="s">
        <v>62</v>
      </c>
      <c r="E53">
        <v>1724.17</v>
      </c>
      <c r="F53">
        <v>119.5</v>
      </c>
      <c r="G53">
        <f>1.6*0.9</f>
        <v>1.4400000000000002</v>
      </c>
      <c r="J53">
        <f t="shared" si="4"/>
        <v>1197.3402777777776</v>
      </c>
      <c r="K53">
        <f t="shared" si="5"/>
        <v>82.9861111111111</v>
      </c>
    </row>
    <row r="54" spans="1:11" x14ac:dyDescent="0.3">
      <c r="A54">
        <v>52</v>
      </c>
      <c r="B54">
        <v>5</v>
      </c>
      <c r="C54" t="s">
        <v>22</v>
      </c>
      <c r="D54" t="s">
        <v>63</v>
      </c>
      <c r="E54">
        <v>1724.17</v>
      </c>
      <c r="F54">
        <v>148.4</v>
      </c>
      <c r="G54">
        <f>1.6*0.9</f>
        <v>1.4400000000000002</v>
      </c>
      <c r="H54">
        <v>4</v>
      </c>
      <c r="J54">
        <f t="shared" si="4"/>
        <v>1197.3402777777776</v>
      </c>
      <c r="K54">
        <f t="shared" si="5"/>
        <v>103.05555555555554</v>
      </c>
    </row>
    <row r="55" spans="1:11" x14ac:dyDescent="0.3">
      <c r="A55">
        <v>53</v>
      </c>
      <c r="B55">
        <v>5</v>
      </c>
      <c r="C55" t="s">
        <v>22</v>
      </c>
      <c r="D55" t="s">
        <v>64</v>
      </c>
      <c r="E55">
        <v>1520.39</v>
      </c>
      <c r="F55">
        <v>107.4</v>
      </c>
      <c r="G55">
        <f>1.4*0.9</f>
        <v>1.26</v>
      </c>
      <c r="J55">
        <f t="shared" si="4"/>
        <v>1206.6587301587301</v>
      </c>
      <c r="K55">
        <f t="shared" si="5"/>
        <v>85.238095238095241</v>
      </c>
    </row>
  </sheetData>
  <sortState xmlns:xlrd2="http://schemas.microsoft.com/office/spreadsheetml/2017/richdata2" ref="A3:K55">
    <sortCondition ref="J3:J55"/>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397B0-CD06-46E8-8A94-153334FD4D6D}">
  <dimension ref="A1:M70"/>
  <sheetViews>
    <sheetView zoomScale="70" zoomScaleNormal="70" workbookViewId="0">
      <selection activeCell="M49" sqref="M49"/>
    </sheetView>
  </sheetViews>
  <sheetFormatPr defaultRowHeight="14.4" x14ac:dyDescent="0.3"/>
  <sheetData>
    <row r="1" spans="1:13" x14ac:dyDescent="0.3">
      <c r="C1" t="s">
        <v>66</v>
      </c>
      <c r="G1" t="s">
        <v>208</v>
      </c>
      <c r="J1" s="3" t="s">
        <v>207</v>
      </c>
      <c r="K1" s="10"/>
      <c r="L1" s="10"/>
      <c r="M1" s="4"/>
    </row>
    <row r="2" spans="1:13" x14ac:dyDescent="0.3">
      <c r="A2" t="s">
        <v>1</v>
      </c>
      <c r="B2" t="s">
        <v>2</v>
      </c>
      <c r="C2" t="s">
        <v>3</v>
      </c>
      <c r="D2" t="s">
        <v>4</v>
      </c>
      <c r="E2" t="s">
        <v>5</v>
      </c>
      <c r="F2" t="s">
        <v>6</v>
      </c>
      <c r="G2" t="s">
        <v>209</v>
      </c>
      <c r="H2" t="s">
        <v>210</v>
      </c>
      <c r="J2" s="5" t="s">
        <v>209</v>
      </c>
      <c r="K2" s="9" t="s">
        <v>210</v>
      </c>
      <c r="L2" s="9"/>
      <c r="M2" s="6"/>
    </row>
    <row r="3" spans="1:13" x14ac:dyDescent="0.3">
      <c r="A3">
        <v>1</v>
      </c>
      <c r="B3">
        <v>1</v>
      </c>
      <c r="C3" t="s">
        <v>11</v>
      </c>
      <c r="D3" t="s">
        <v>67</v>
      </c>
      <c r="E3">
        <v>10</v>
      </c>
      <c r="F3">
        <v>2.92</v>
      </c>
      <c r="G3">
        <f>AVERAGE(E3:E16)</f>
        <v>29.321428571428573</v>
      </c>
      <c r="H3">
        <f>AVERAGE(F3:F16)</f>
        <v>5.3900000000000006</v>
      </c>
      <c r="J3" s="5">
        <f>AVERAGE(E3:E70)</f>
        <v>78.364117647058833</v>
      </c>
      <c r="K3" s="9">
        <f>AVERAGE(F3:F70)</f>
        <v>7.0011029411764705</v>
      </c>
      <c r="L3" s="9"/>
      <c r="M3" s="6"/>
    </row>
    <row r="4" spans="1:13" x14ac:dyDescent="0.3">
      <c r="A4">
        <v>2</v>
      </c>
      <c r="B4">
        <v>1</v>
      </c>
      <c r="C4" t="s">
        <v>11</v>
      </c>
      <c r="D4" t="s">
        <v>68</v>
      </c>
      <c r="E4">
        <v>20</v>
      </c>
      <c r="F4">
        <v>4.9000000000000004</v>
      </c>
      <c r="J4" s="5"/>
      <c r="K4" s="9"/>
      <c r="L4" s="9"/>
      <c r="M4" s="6"/>
    </row>
    <row r="5" spans="1:13" x14ac:dyDescent="0.3">
      <c r="A5">
        <v>3</v>
      </c>
      <c r="B5">
        <v>1</v>
      </c>
      <c r="C5" t="s">
        <v>11</v>
      </c>
      <c r="D5" t="s">
        <v>69</v>
      </c>
      <c r="E5">
        <v>20</v>
      </c>
      <c r="F5">
        <v>4.17</v>
      </c>
      <c r="J5" s="5"/>
      <c r="K5" s="9" t="s">
        <v>222</v>
      </c>
      <c r="L5" s="9"/>
      <c r="M5" s="6"/>
    </row>
    <row r="6" spans="1:13" x14ac:dyDescent="0.3">
      <c r="A6">
        <v>4</v>
      </c>
      <c r="B6">
        <v>1</v>
      </c>
      <c r="C6" t="s">
        <v>70</v>
      </c>
      <c r="D6" t="s">
        <v>71</v>
      </c>
      <c r="E6">
        <v>20</v>
      </c>
      <c r="F6">
        <v>5</v>
      </c>
      <c r="J6" s="5" t="s">
        <v>217</v>
      </c>
      <c r="K6" s="9">
        <f>G3</f>
        <v>29.321428571428573</v>
      </c>
      <c r="L6" s="9">
        <f>H3</f>
        <v>5.3900000000000006</v>
      </c>
      <c r="M6" s="6"/>
    </row>
    <row r="7" spans="1:13" x14ac:dyDescent="0.3">
      <c r="A7">
        <v>5</v>
      </c>
      <c r="B7">
        <v>1</v>
      </c>
      <c r="C7" t="s">
        <v>70</v>
      </c>
      <c r="D7" t="s">
        <v>72</v>
      </c>
      <c r="E7">
        <v>22.5</v>
      </c>
      <c r="F7">
        <v>11</v>
      </c>
      <c r="J7" s="5" t="s">
        <v>218</v>
      </c>
      <c r="K7" s="9">
        <f>G17</f>
        <v>49.214285714285715</v>
      </c>
      <c r="L7" s="9">
        <f>H17</f>
        <v>5.9707142857142852</v>
      </c>
      <c r="M7" s="6"/>
    </row>
    <row r="8" spans="1:13" x14ac:dyDescent="0.3">
      <c r="A8">
        <v>6</v>
      </c>
      <c r="B8">
        <v>1</v>
      </c>
      <c r="C8" t="s">
        <v>11</v>
      </c>
      <c r="D8" t="s">
        <v>73</v>
      </c>
      <c r="E8">
        <v>25</v>
      </c>
      <c r="F8">
        <f>2.86+1.7</f>
        <v>4.5599999999999996</v>
      </c>
      <c r="J8" s="5" t="s">
        <v>219</v>
      </c>
      <c r="K8" s="9">
        <f>G31</f>
        <v>66.642857142857139</v>
      </c>
      <c r="L8" s="9">
        <f>H31</f>
        <v>5.7735714285714286</v>
      </c>
      <c r="M8" s="6"/>
    </row>
    <row r="9" spans="1:13" x14ac:dyDescent="0.3">
      <c r="A9">
        <v>7</v>
      </c>
      <c r="B9">
        <v>1</v>
      </c>
      <c r="C9" t="s">
        <v>11</v>
      </c>
      <c r="D9" t="s">
        <v>74</v>
      </c>
      <c r="E9">
        <v>25</v>
      </c>
      <c r="F9">
        <v>5.65</v>
      </c>
      <c r="J9" s="5" t="s">
        <v>220</v>
      </c>
      <c r="K9" s="9">
        <f>G45</f>
        <v>98.468571428571423</v>
      </c>
      <c r="L9" s="9">
        <f>H45</f>
        <v>8.218928571428572</v>
      </c>
      <c r="M9" s="6"/>
    </row>
    <row r="10" spans="1:13" x14ac:dyDescent="0.3">
      <c r="A10">
        <v>8</v>
      </c>
      <c r="B10">
        <v>1</v>
      </c>
      <c r="C10" t="s">
        <v>11</v>
      </c>
      <c r="D10" t="s">
        <v>75</v>
      </c>
      <c r="E10">
        <v>35</v>
      </c>
      <c r="F10">
        <v>7</v>
      </c>
      <c r="J10" s="5" t="s">
        <v>221</v>
      </c>
      <c r="K10" s="9">
        <f>G59</f>
        <v>159.80833333333334</v>
      </c>
      <c r="L10" s="9">
        <f>H59</f>
        <v>10.094166666666668</v>
      </c>
      <c r="M10" s="6"/>
    </row>
    <row r="11" spans="1:13" x14ac:dyDescent="0.3">
      <c r="A11">
        <v>9</v>
      </c>
      <c r="B11">
        <v>1</v>
      </c>
      <c r="C11" t="s">
        <v>11</v>
      </c>
      <c r="D11" t="s">
        <v>19</v>
      </c>
      <c r="E11">
        <v>35</v>
      </c>
      <c r="F11">
        <v>4.5599999999999996</v>
      </c>
      <c r="J11" s="5"/>
      <c r="K11" s="9"/>
      <c r="L11" s="9"/>
      <c r="M11" s="6"/>
    </row>
    <row r="12" spans="1:13" x14ac:dyDescent="0.3">
      <c r="A12">
        <v>10</v>
      </c>
      <c r="B12">
        <v>1</v>
      </c>
      <c r="C12" t="s">
        <v>22</v>
      </c>
      <c r="D12" t="s">
        <v>76</v>
      </c>
      <c r="E12">
        <v>38</v>
      </c>
      <c r="F12">
        <v>4.8</v>
      </c>
      <c r="J12" s="5"/>
      <c r="K12" s="9" t="s">
        <v>223</v>
      </c>
      <c r="L12" s="9"/>
      <c r="M12" s="6"/>
    </row>
    <row r="13" spans="1:13" x14ac:dyDescent="0.3">
      <c r="A13">
        <v>11</v>
      </c>
      <c r="B13">
        <v>1</v>
      </c>
      <c r="C13" t="s">
        <v>70</v>
      </c>
      <c r="D13" t="s">
        <v>77</v>
      </c>
      <c r="E13">
        <v>40</v>
      </c>
      <c r="F13">
        <v>10</v>
      </c>
      <c r="J13" s="5"/>
      <c r="K13" s="9" t="s">
        <v>135</v>
      </c>
      <c r="L13" s="9" t="s">
        <v>136</v>
      </c>
      <c r="M13" s="6"/>
    </row>
    <row r="14" spans="1:13" x14ac:dyDescent="0.3">
      <c r="A14">
        <v>12</v>
      </c>
      <c r="B14">
        <v>1</v>
      </c>
      <c r="C14" t="s">
        <v>11</v>
      </c>
      <c r="D14" t="s">
        <v>78</v>
      </c>
      <c r="E14">
        <v>40</v>
      </c>
      <c r="F14">
        <v>4.8</v>
      </c>
      <c r="J14" s="5" t="s">
        <v>217</v>
      </c>
      <c r="K14" s="9">
        <f>K6/$J$3</f>
        <v>0.37416906425831575</v>
      </c>
      <c r="L14" s="9">
        <f>L6/$K$3</f>
        <v>0.76987869558367916</v>
      </c>
      <c r="M14" s="6"/>
    </row>
    <row r="15" spans="1:13" x14ac:dyDescent="0.3">
      <c r="A15">
        <v>13</v>
      </c>
      <c r="B15">
        <v>1</v>
      </c>
      <c r="C15" t="s">
        <v>11</v>
      </c>
      <c r="D15" t="s">
        <v>79</v>
      </c>
      <c r="E15">
        <v>40</v>
      </c>
      <c r="F15">
        <v>4.1500000000000004</v>
      </c>
      <c r="J15" s="5" t="s">
        <v>218</v>
      </c>
      <c r="K15" s="9">
        <f t="shared" ref="K15:K18" si="0">K7/$J$3</f>
        <v>0.62802067058216704</v>
      </c>
      <c r="L15" s="9">
        <f t="shared" ref="L15:L18" si="1">L7/$K$3</f>
        <v>0.85282481001642896</v>
      </c>
      <c r="M15" s="6"/>
    </row>
    <row r="16" spans="1:13" x14ac:dyDescent="0.3">
      <c r="A16">
        <v>14</v>
      </c>
      <c r="B16">
        <v>1</v>
      </c>
      <c r="C16" t="s">
        <v>11</v>
      </c>
      <c r="D16" t="s">
        <v>80</v>
      </c>
      <c r="E16">
        <v>40</v>
      </c>
      <c r="F16">
        <v>1.95</v>
      </c>
      <c r="J16" s="5" t="s">
        <v>219</v>
      </c>
      <c r="K16" s="9">
        <f t="shared" si="0"/>
        <v>0.85042566858223767</v>
      </c>
      <c r="L16" s="9">
        <f t="shared" si="1"/>
        <v>0.82466598150051384</v>
      </c>
      <c r="M16" s="6"/>
    </row>
    <row r="17" spans="1:13" x14ac:dyDescent="0.3">
      <c r="A17">
        <v>15</v>
      </c>
      <c r="B17">
        <v>2</v>
      </c>
      <c r="C17" t="s">
        <v>11</v>
      </c>
      <c r="D17" t="s">
        <v>81</v>
      </c>
      <c r="E17">
        <v>40</v>
      </c>
      <c r="F17">
        <v>6.17</v>
      </c>
      <c r="G17">
        <f>AVERAGE(E17:E30)</f>
        <v>49.214285714285715</v>
      </c>
      <c r="H17">
        <f>AVERAGE(F17:F30)</f>
        <v>5.9707142857142852</v>
      </c>
      <c r="J17" s="5" t="s">
        <v>220</v>
      </c>
      <c r="K17" s="9">
        <f t="shared" si="0"/>
        <v>1.2565517788646619</v>
      </c>
      <c r="L17" s="9">
        <f t="shared" si="1"/>
        <v>1.1739476823129611</v>
      </c>
      <c r="M17" s="6"/>
    </row>
    <row r="18" spans="1:13" x14ac:dyDescent="0.3">
      <c r="A18">
        <v>16</v>
      </c>
      <c r="B18">
        <v>2</v>
      </c>
      <c r="C18" t="s">
        <v>11</v>
      </c>
      <c r="D18" t="s">
        <v>82</v>
      </c>
      <c r="E18">
        <v>40</v>
      </c>
      <c r="F18">
        <v>6.4</v>
      </c>
      <c r="J18" s="7" t="s">
        <v>221</v>
      </c>
      <c r="K18" s="11">
        <f t="shared" si="0"/>
        <v>2.039304953998053</v>
      </c>
      <c r="L18" s="11">
        <f t="shared" si="1"/>
        <v>1.4417966356841536</v>
      </c>
      <c r="M18" s="8"/>
    </row>
    <row r="19" spans="1:13" x14ac:dyDescent="0.3">
      <c r="A19">
        <v>17</v>
      </c>
      <c r="B19">
        <v>2</v>
      </c>
      <c r="C19" t="s">
        <v>22</v>
      </c>
      <c r="D19" t="s">
        <v>83</v>
      </c>
      <c r="E19">
        <v>42</v>
      </c>
      <c r="F19">
        <v>6</v>
      </c>
    </row>
    <row r="20" spans="1:13" x14ac:dyDescent="0.3">
      <c r="A20">
        <v>18</v>
      </c>
      <c r="B20">
        <v>2</v>
      </c>
      <c r="C20" t="s">
        <v>70</v>
      </c>
      <c r="D20" t="s">
        <v>84</v>
      </c>
      <c r="E20">
        <v>45</v>
      </c>
      <c r="F20">
        <v>6</v>
      </c>
    </row>
    <row r="21" spans="1:13" x14ac:dyDescent="0.3">
      <c r="A21">
        <v>19</v>
      </c>
      <c r="B21">
        <v>2</v>
      </c>
      <c r="C21" t="s">
        <v>11</v>
      </c>
      <c r="D21" t="s">
        <v>85</v>
      </c>
      <c r="E21">
        <v>45</v>
      </c>
      <c r="F21">
        <f>2.55+2.31</f>
        <v>4.8599999999999994</v>
      </c>
    </row>
    <row r="22" spans="1:13" x14ac:dyDescent="0.3">
      <c r="A22">
        <v>20</v>
      </c>
      <c r="B22">
        <v>2</v>
      </c>
      <c r="C22" t="s">
        <v>22</v>
      </c>
      <c r="D22" t="s">
        <v>86</v>
      </c>
      <c r="E22">
        <v>47</v>
      </c>
      <c r="F22">
        <v>5.8</v>
      </c>
    </row>
    <row r="23" spans="1:13" x14ac:dyDescent="0.3">
      <c r="A23">
        <v>21</v>
      </c>
      <c r="B23">
        <v>2</v>
      </c>
      <c r="C23" t="s">
        <v>11</v>
      </c>
      <c r="D23" t="s">
        <v>87</v>
      </c>
      <c r="E23">
        <v>49</v>
      </c>
      <c r="F23">
        <v>2.5499999999999998</v>
      </c>
    </row>
    <row r="24" spans="1:13" x14ac:dyDescent="0.3">
      <c r="A24">
        <v>22</v>
      </c>
      <c r="B24">
        <v>2</v>
      </c>
      <c r="C24" t="s">
        <v>11</v>
      </c>
      <c r="D24" t="s">
        <v>88</v>
      </c>
      <c r="E24">
        <v>50</v>
      </c>
      <c r="F24">
        <v>6.62</v>
      </c>
    </row>
    <row r="25" spans="1:13" x14ac:dyDescent="0.3">
      <c r="A25">
        <v>23</v>
      </c>
      <c r="B25">
        <v>2</v>
      </c>
      <c r="C25" t="s">
        <v>11</v>
      </c>
      <c r="D25" t="s">
        <v>89</v>
      </c>
      <c r="E25">
        <v>50</v>
      </c>
      <c r="F25">
        <v>8.15</v>
      </c>
    </row>
    <row r="26" spans="1:13" x14ac:dyDescent="0.3">
      <c r="A26">
        <v>24</v>
      </c>
      <c r="B26">
        <v>2</v>
      </c>
      <c r="C26" t="s">
        <v>70</v>
      </c>
      <c r="D26" t="s">
        <v>90</v>
      </c>
      <c r="E26">
        <v>50</v>
      </c>
      <c r="F26">
        <v>5</v>
      </c>
    </row>
    <row r="27" spans="1:13" x14ac:dyDescent="0.3">
      <c r="A27">
        <v>25</v>
      </c>
      <c r="B27">
        <v>2</v>
      </c>
      <c r="C27" t="s">
        <v>22</v>
      </c>
      <c r="D27" t="s">
        <v>91</v>
      </c>
      <c r="E27">
        <v>51</v>
      </c>
      <c r="F27">
        <v>5.9</v>
      </c>
    </row>
    <row r="28" spans="1:13" x14ac:dyDescent="0.3">
      <c r="A28">
        <v>26</v>
      </c>
      <c r="B28">
        <v>2</v>
      </c>
      <c r="C28" t="s">
        <v>11</v>
      </c>
      <c r="D28" t="s">
        <v>92</v>
      </c>
      <c r="E28">
        <v>60</v>
      </c>
      <c r="F28">
        <f>3.32+2.45</f>
        <v>5.77</v>
      </c>
    </row>
    <row r="29" spans="1:13" x14ac:dyDescent="0.3">
      <c r="A29">
        <v>27</v>
      </c>
      <c r="B29">
        <v>2</v>
      </c>
      <c r="C29" t="s">
        <v>70</v>
      </c>
      <c r="D29" t="s">
        <v>93</v>
      </c>
      <c r="E29">
        <v>60</v>
      </c>
      <c r="F29">
        <v>6</v>
      </c>
    </row>
    <row r="30" spans="1:13" x14ac:dyDescent="0.3">
      <c r="A30">
        <v>28</v>
      </c>
      <c r="B30">
        <v>2</v>
      </c>
      <c r="C30" t="s">
        <v>11</v>
      </c>
      <c r="D30" t="s">
        <v>94</v>
      </c>
      <c r="E30">
        <v>60</v>
      </c>
      <c r="F30">
        <f>7.9+0.47</f>
        <v>8.370000000000001</v>
      </c>
    </row>
    <row r="31" spans="1:13" x14ac:dyDescent="0.3">
      <c r="A31">
        <v>29</v>
      </c>
      <c r="B31">
        <v>3</v>
      </c>
      <c r="C31" t="s">
        <v>11</v>
      </c>
      <c r="D31" t="s">
        <v>95</v>
      </c>
      <c r="E31">
        <v>60</v>
      </c>
      <c r="F31">
        <f>7.5+0.52</f>
        <v>8.02</v>
      </c>
      <c r="G31">
        <f>AVERAGE(E31:E44)</f>
        <v>66.642857142857139</v>
      </c>
      <c r="H31">
        <f>AVERAGE(F31:F44)</f>
        <v>5.7735714285714286</v>
      </c>
    </row>
    <row r="32" spans="1:13" x14ac:dyDescent="0.3">
      <c r="A32">
        <v>30</v>
      </c>
      <c r="B32">
        <v>3</v>
      </c>
      <c r="C32" t="s">
        <v>11</v>
      </c>
      <c r="D32" t="s">
        <v>96</v>
      </c>
      <c r="E32">
        <v>60</v>
      </c>
      <c r="F32">
        <v>4.5</v>
      </c>
    </row>
    <row r="33" spans="1:8" x14ac:dyDescent="0.3">
      <c r="A33">
        <v>31</v>
      </c>
      <c r="B33">
        <v>3</v>
      </c>
      <c r="C33" t="s">
        <v>70</v>
      </c>
      <c r="D33" t="s">
        <v>97</v>
      </c>
      <c r="E33">
        <v>60</v>
      </c>
      <c r="F33">
        <v>3</v>
      </c>
    </row>
    <row r="34" spans="1:8" x14ac:dyDescent="0.3">
      <c r="A34">
        <v>32</v>
      </c>
      <c r="B34">
        <v>3</v>
      </c>
      <c r="C34" t="s">
        <v>11</v>
      </c>
      <c r="D34" t="s">
        <v>98</v>
      </c>
      <c r="E34">
        <v>60</v>
      </c>
      <c r="F34">
        <v>7.24</v>
      </c>
    </row>
    <row r="35" spans="1:8" x14ac:dyDescent="0.3">
      <c r="A35">
        <v>33</v>
      </c>
      <c r="B35">
        <v>3</v>
      </c>
      <c r="C35" t="s">
        <v>70</v>
      </c>
      <c r="D35" t="s">
        <v>99</v>
      </c>
      <c r="E35">
        <v>65</v>
      </c>
      <c r="F35">
        <v>6</v>
      </c>
    </row>
    <row r="36" spans="1:8" x14ac:dyDescent="0.3">
      <c r="A36">
        <v>34</v>
      </c>
      <c r="B36">
        <v>3</v>
      </c>
      <c r="C36" t="s">
        <v>22</v>
      </c>
      <c r="D36" t="s">
        <v>100</v>
      </c>
      <c r="E36">
        <v>69</v>
      </c>
      <c r="F36">
        <v>5</v>
      </c>
    </row>
    <row r="37" spans="1:8" x14ac:dyDescent="0.3">
      <c r="A37">
        <v>35</v>
      </c>
      <c r="B37">
        <v>3</v>
      </c>
      <c r="C37" t="s">
        <v>22</v>
      </c>
      <c r="D37" t="s">
        <v>101</v>
      </c>
      <c r="E37">
        <v>69</v>
      </c>
      <c r="F37">
        <v>5.8</v>
      </c>
    </row>
    <row r="38" spans="1:8" x14ac:dyDescent="0.3">
      <c r="A38">
        <v>36</v>
      </c>
      <c r="B38">
        <v>3</v>
      </c>
      <c r="C38" t="s">
        <v>11</v>
      </c>
      <c r="D38" t="s">
        <v>102</v>
      </c>
      <c r="E38">
        <v>70</v>
      </c>
      <c r="F38">
        <f>3.32+2.44</f>
        <v>5.76</v>
      </c>
    </row>
    <row r="39" spans="1:8" x14ac:dyDescent="0.3">
      <c r="A39">
        <v>37</v>
      </c>
      <c r="B39">
        <v>3</v>
      </c>
      <c r="C39" t="s">
        <v>11</v>
      </c>
      <c r="D39" t="s">
        <v>103</v>
      </c>
      <c r="E39">
        <v>70</v>
      </c>
      <c r="F39">
        <f>2.86+3.32</f>
        <v>6.18</v>
      </c>
    </row>
    <row r="40" spans="1:8" x14ac:dyDescent="0.3">
      <c r="A40">
        <v>38</v>
      </c>
      <c r="B40">
        <v>3</v>
      </c>
      <c r="C40" t="s">
        <v>70</v>
      </c>
      <c r="D40" t="s">
        <v>104</v>
      </c>
      <c r="E40">
        <v>70</v>
      </c>
      <c r="F40">
        <v>6</v>
      </c>
    </row>
    <row r="41" spans="1:8" x14ac:dyDescent="0.3">
      <c r="A41">
        <v>39</v>
      </c>
      <c r="B41">
        <v>3</v>
      </c>
      <c r="C41" t="s">
        <v>11</v>
      </c>
      <c r="D41" t="s">
        <v>105</v>
      </c>
      <c r="E41">
        <v>70</v>
      </c>
      <c r="F41">
        <v>6.2</v>
      </c>
    </row>
    <row r="42" spans="1:8" x14ac:dyDescent="0.3">
      <c r="A42">
        <v>40</v>
      </c>
      <c r="B42">
        <v>3</v>
      </c>
      <c r="C42" t="s">
        <v>11</v>
      </c>
      <c r="D42" t="s">
        <v>106</v>
      </c>
      <c r="E42">
        <v>70</v>
      </c>
      <c r="F42">
        <v>6.43</v>
      </c>
    </row>
    <row r="43" spans="1:8" x14ac:dyDescent="0.3">
      <c r="A43">
        <v>41</v>
      </c>
      <c r="B43">
        <v>3</v>
      </c>
      <c r="C43" t="s">
        <v>11</v>
      </c>
      <c r="D43" t="s">
        <v>107</v>
      </c>
      <c r="E43">
        <v>70</v>
      </c>
      <c r="F43">
        <v>6.5</v>
      </c>
    </row>
    <row r="44" spans="1:8" x14ac:dyDescent="0.3">
      <c r="A44">
        <v>42</v>
      </c>
      <c r="B44">
        <v>3</v>
      </c>
      <c r="C44" t="s">
        <v>11</v>
      </c>
      <c r="D44" t="s">
        <v>108</v>
      </c>
      <c r="E44">
        <v>70</v>
      </c>
      <c r="F44">
        <v>4.2</v>
      </c>
    </row>
    <row r="45" spans="1:8" x14ac:dyDescent="0.3">
      <c r="A45">
        <v>43</v>
      </c>
      <c r="B45">
        <v>4</v>
      </c>
      <c r="C45" t="s">
        <v>22</v>
      </c>
      <c r="D45" t="s">
        <v>109</v>
      </c>
      <c r="E45">
        <v>71</v>
      </c>
      <c r="F45">
        <v>6.5</v>
      </c>
      <c r="G45">
        <f>AVERAGE(E45:E58)</f>
        <v>98.468571428571423</v>
      </c>
      <c r="H45">
        <f>AVERAGE(F45:F58)</f>
        <v>8.218928571428572</v>
      </c>
    </row>
    <row r="46" spans="1:8" x14ac:dyDescent="0.3">
      <c r="A46">
        <v>44</v>
      </c>
      <c r="B46">
        <v>4</v>
      </c>
      <c r="C46" t="s">
        <v>22</v>
      </c>
      <c r="D46" t="s">
        <v>109</v>
      </c>
      <c r="E46">
        <v>71</v>
      </c>
      <c r="F46">
        <v>6.5</v>
      </c>
    </row>
    <row r="47" spans="1:8" x14ac:dyDescent="0.3">
      <c r="A47">
        <v>45</v>
      </c>
      <c r="B47">
        <v>4</v>
      </c>
      <c r="C47" t="s">
        <v>11</v>
      </c>
      <c r="D47" t="s">
        <v>110</v>
      </c>
      <c r="E47">
        <v>80</v>
      </c>
      <c r="F47">
        <f>1.41+2.98</f>
        <v>4.3899999999999997</v>
      </c>
    </row>
    <row r="48" spans="1:8" x14ac:dyDescent="0.3">
      <c r="A48">
        <v>46</v>
      </c>
      <c r="B48">
        <v>4</v>
      </c>
      <c r="C48" t="s">
        <v>22</v>
      </c>
      <c r="D48" t="s">
        <v>111</v>
      </c>
      <c r="E48">
        <v>93</v>
      </c>
      <c r="F48">
        <v>8.8000000000000007</v>
      </c>
    </row>
    <row r="49" spans="1:8" x14ac:dyDescent="0.3">
      <c r="A49">
        <v>47</v>
      </c>
      <c r="B49">
        <v>4</v>
      </c>
      <c r="C49" t="s">
        <v>22</v>
      </c>
      <c r="D49" t="s">
        <v>112</v>
      </c>
      <c r="E49">
        <v>97</v>
      </c>
      <c r="F49">
        <v>7.8</v>
      </c>
    </row>
    <row r="50" spans="1:8" x14ac:dyDescent="0.3">
      <c r="A50">
        <v>48</v>
      </c>
      <c r="B50">
        <v>4</v>
      </c>
      <c r="C50" t="s">
        <v>22</v>
      </c>
      <c r="D50" t="s">
        <v>113</v>
      </c>
      <c r="E50">
        <v>98.64</v>
      </c>
      <c r="F50">
        <v>10.125</v>
      </c>
    </row>
    <row r="51" spans="1:8" x14ac:dyDescent="0.3">
      <c r="A51">
        <v>49</v>
      </c>
      <c r="B51">
        <v>4</v>
      </c>
      <c r="C51" t="s">
        <v>22</v>
      </c>
      <c r="D51" t="s">
        <v>114</v>
      </c>
      <c r="E51">
        <v>100</v>
      </c>
      <c r="F51">
        <v>6.3</v>
      </c>
    </row>
    <row r="52" spans="1:8" x14ac:dyDescent="0.3">
      <c r="A52">
        <v>50</v>
      </c>
      <c r="B52">
        <v>4</v>
      </c>
      <c r="C52" t="s">
        <v>11</v>
      </c>
      <c r="D52" t="s">
        <v>28</v>
      </c>
      <c r="E52">
        <v>100</v>
      </c>
      <c r="F52">
        <v>8</v>
      </c>
    </row>
    <row r="53" spans="1:8" x14ac:dyDescent="0.3">
      <c r="A53">
        <v>51</v>
      </c>
      <c r="B53">
        <v>4</v>
      </c>
      <c r="C53" t="s">
        <v>22</v>
      </c>
      <c r="D53" t="s">
        <v>115</v>
      </c>
      <c r="E53">
        <v>103.11</v>
      </c>
      <c r="F53">
        <v>9.3000000000000007</v>
      </c>
    </row>
    <row r="54" spans="1:8" x14ac:dyDescent="0.3">
      <c r="A54">
        <v>52</v>
      </c>
      <c r="B54">
        <v>4</v>
      </c>
      <c r="C54" t="s">
        <v>22</v>
      </c>
      <c r="D54" t="s">
        <v>116</v>
      </c>
      <c r="E54">
        <v>104</v>
      </c>
      <c r="F54">
        <v>10.7</v>
      </c>
    </row>
    <row r="55" spans="1:8" x14ac:dyDescent="0.3">
      <c r="A55">
        <v>53</v>
      </c>
      <c r="B55">
        <v>4</v>
      </c>
      <c r="C55" t="s">
        <v>22</v>
      </c>
      <c r="D55" t="s">
        <v>117</v>
      </c>
      <c r="E55">
        <v>104</v>
      </c>
      <c r="F55">
        <v>9.9</v>
      </c>
    </row>
    <row r="56" spans="1:8" x14ac:dyDescent="0.3">
      <c r="A56">
        <v>54</v>
      </c>
      <c r="B56">
        <v>4</v>
      </c>
      <c r="C56" t="s">
        <v>22</v>
      </c>
      <c r="D56" t="s">
        <v>118</v>
      </c>
      <c r="E56">
        <v>118.81</v>
      </c>
      <c r="F56">
        <v>10</v>
      </c>
    </row>
    <row r="57" spans="1:8" x14ac:dyDescent="0.3">
      <c r="A57">
        <v>55</v>
      </c>
      <c r="B57">
        <v>4</v>
      </c>
      <c r="C57" t="s">
        <v>11</v>
      </c>
      <c r="D57" t="s">
        <v>119</v>
      </c>
      <c r="E57">
        <v>119</v>
      </c>
      <c r="F57">
        <v>6.75</v>
      </c>
    </row>
    <row r="58" spans="1:8" x14ac:dyDescent="0.3">
      <c r="A58">
        <v>56</v>
      </c>
      <c r="B58">
        <v>4</v>
      </c>
      <c r="C58" t="s">
        <v>11</v>
      </c>
      <c r="D58" t="s">
        <v>120</v>
      </c>
      <c r="E58">
        <v>119</v>
      </c>
      <c r="F58">
        <v>10</v>
      </c>
    </row>
    <row r="59" spans="1:8" x14ac:dyDescent="0.3">
      <c r="A59">
        <v>57</v>
      </c>
      <c r="B59">
        <v>5</v>
      </c>
      <c r="C59" t="s">
        <v>22</v>
      </c>
      <c r="D59" t="s">
        <v>121</v>
      </c>
      <c r="E59">
        <v>128.69999999999999</v>
      </c>
      <c r="F59">
        <v>7.5</v>
      </c>
      <c r="G59">
        <f>AVERAGE(E59:E70)</f>
        <v>159.80833333333334</v>
      </c>
      <c r="H59">
        <f>AVERAGE(F59:F70)</f>
        <v>10.094166666666668</v>
      </c>
    </row>
    <row r="60" spans="1:8" x14ac:dyDescent="0.3">
      <c r="A60">
        <v>58</v>
      </c>
      <c r="B60">
        <v>5</v>
      </c>
      <c r="C60" t="s">
        <v>11</v>
      </c>
      <c r="D60" t="s">
        <v>122</v>
      </c>
      <c r="E60">
        <v>129</v>
      </c>
      <c r="F60">
        <v>7.73</v>
      </c>
    </row>
    <row r="61" spans="1:8" x14ac:dyDescent="0.3">
      <c r="A61">
        <v>59</v>
      </c>
      <c r="B61">
        <v>5</v>
      </c>
      <c r="C61" t="s">
        <v>11</v>
      </c>
      <c r="D61" t="s">
        <v>43</v>
      </c>
      <c r="E61">
        <v>129</v>
      </c>
      <c r="F61">
        <v>11.34</v>
      </c>
    </row>
    <row r="62" spans="1:8" x14ac:dyDescent="0.3">
      <c r="A62">
        <v>60</v>
      </c>
      <c r="B62">
        <v>5</v>
      </c>
      <c r="C62" t="s">
        <v>22</v>
      </c>
      <c r="D62" t="s">
        <v>123</v>
      </c>
      <c r="E62">
        <v>138</v>
      </c>
      <c r="F62">
        <v>7</v>
      </c>
    </row>
    <row r="63" spans="1:8" x14ac:dyDescent="0.3">
      <c r="A63">
        <v>61</v>
      </c>
      <c r="B63">
        <v>5</v>
      </c>
      <c r="C63" t="s">
        <v>22</v>
      </c>
      <c r="D63" t="s">
        <v>124</v>
      </c>
      <c r="E63">
        <v>139</v>
      </c>
      <c r="F63">
        <v>7.2</v>
      </c>
    </row>
    <row r="64" spans="1:8" x14ac:dyDescent="0.3">
      <c r="A64">
        <v>62</v>
      </c>
      <c r="B64">
        <v>5</v>
      </c>
      <c r="C64" t="s">
        <v>11</v>
      </c>
      <c r="D64" t="s">
        <v>125</v>
      </c>
      <c r="E64">
        <v>139</v>
      </c>
      <c r="F64">
        <v>8.6999999999999993</v>
      </c>
    </row>
    <row r="65" spans="1:6" x14ac:dyDescent="0.3">
      <c r="A65">
        <v>63</v>
      </c>
      <c r="B65">
        <v>5</v>
      </c>
      <c r="C65" t="s">
        <v>11</v>
      </c>
      <c r="D65" t="s">
        <v>126</v>
      </c>
      <c r="E65">
        <v>139</v>
      </c>
      <c r="F65">
        <v>11.8</v>
      </c>
    </row>
    <row r="66" spans="1:6" x14ac:dyDescent="0.3">
      <c r="A66">
        <v>64</v>
      </c>
      <c r="B66">
        <v>5</v>
      </c>
      <c r="C66" t="s">
        <v>11</v>
      </c>
      <c r="D66" t="s">
        <v>127</v>
      </c>
      <c r="E66">
        <v>149</v>
      </c>
      <c r="F66">
        <v>10.06</v>
      </c>
    </row>
    <row r="67" spans="1:6" x14ac:dyDescent="0.3">
      <c r="A67">
        <v>65</v>
      </c>
      <c r="B67">
        <v>5</v>
      </c>
      <c r="C67" t="s">
        <v>11</v>
      </c>
      <c r="D67" t="s">
        <v>128</v>
      </c>
      <c r="E67">
        <v>169</v>
      </c>
      <c r="F67">
        <v>10.5</v>
      </c>
    </row>
    <row r="68" spans="1:6" x14ac:dyDescent="0.3">
      <c r="A68">
        <v>66</v>
      </c>
      <c r="B68">
        <v>5</v>
      </c>
      <c r="C68" t="s">
        <v>11</v>
      </c>
      <c r="D68" t="s">
        <v>129</v>
      </c>
      <c r="E68">
        <v>179</v>
      </c>
      <c r="F68">
        <v>14.4</v>
      </c>
    </row>
    <row r="69" spans="1:6" x14ac:dyDescent="0.3">
      <c r="A69">
        <v>67</v>
      </c>
      <c r="B69">
        <v>5</v>
      </c>
      <c r="C69" t="s">
        <v>22</v>
      </c>
      <c r="D69" t="s">
        <v>130</v>
      </c>
      <c r="E69">
        <v>230</v>
      </c>
      <c r="F69">
        <v>10.5</v>
      </c>
    </row>
    <row r="70" spans="1:6" x14ac:dyDescent="0.3">
      <c r="A70">
        <v>68</v>
      </c>
      <c r="B70">
        <v>5</v>
      </c>
      <c r="C70" t="s">
        <v>11</v>
      </c>
      <c r="D70" t="s">
        <v>131</v>
      </c>
      <c r="E70">
        <v>249</v>
      </c>
      <c r="F70">
        <v>14.4</v>
      </c>
    </row>
  </sheetData>
  <sortState xmlns:xlrd2="http://schemas.microsoft.com/office/spreadsheetml/2017/richdata2" ref="A3:H70">
    <sortCondition ref="E3:E70"/>
  </sortState>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2366D-65C7-4F80-BC89-D98B2D26BC68}">
  <dimension ref="A1:AC62"/>
  <sheetViews>
    <sheetView zoomScale="70" zoomScaleNormal="70" workbookViewId="0">
      <selection activeCell="U41" sqref="U41"/>
    </sheetView>
  </sheetViews>
  <sheetFormatPr defaultRowHeight="14.4" x14ac:dyDescent="0.3"/>
  <sheetData>
    <row r="1" spans="1:29" x14ac:dyDescent="0.3">
      <c r="C1" t="s">
        <v>132</v>
      </c>
      <c r="L1" s="14" t="s">
        <v>133</v>
      </c>
      <c r="M1" s="14"/>
      <c r="N1" t="s">
        <v>208</v>
      </c>
      <c r="Q1" t="s">
        <v>248</v>
      </c>
    </row>
    <row r="2" spans="1:29" x14ac:dyDescent="0.3">
      <c r="A2" t="s">
        <v>1</v>
      </c>
      <c r="B2" t="s">
        <v>2</v>
      </c>
      <c r="C2" t="s">
        <v>3</v>
      </c>
      <c r="D2" t="s">
        <v>4</v>
      </c>
      <c r="E2" t="s">
        <v>5</v>
      </c>
      <c r="F2" t="s">
        <v>6</v>
      </c>
      <c r="G2" t="s">
        <v>134</v>
      </c>
      <c r="H2" t="s">
        <v>135</v>
      </c>
      <c r="I2" t="s">
        <v>136</v>
      </c>
      <c r="J2" t="s">
        <v>203</v>
      </c>
      <c r="K2" t="s">
        <v>137</v>
      </c>
      <c r="L2" s="1" t="s">
        <v>135</v>
      </c>
      <c r="M2" s="1" t="s">
        <v>136</v>
      </c>
      <c r="N2" t="s">
        <v>135</v>
      </c>
      <c r="O2" t="s">
        <v>136</v>
      </c>
      <c r="Q2" t="s">
        <v>213</v>
      </c>
    </row>
    <row r="3" spans="1:29" x14ac:dyDescent="0.3">
      <c r="A3">
        <v>1</v>
      </c>
      <c r="B3">
        <v>1</v>
      </c>
      <c r="C3" t="s">
        <v>11</v>
      </c>
      <c r="D3" t="s">
        <v>138</v>
      </c>
      <c r="E3">
        <v>40</v>
      </c>
      <c r="F3">
        <v>15.94</v>
      </c>
      <c r="G3">
        <v>1.4</v>
      </c>
      <c r="H3">
        <f t="shared" ref="H3:H34" si="0">E3/G3</f>
        <v>28.571428571428573</v>
      </c>
      <c r="I3">
        <f t="shared" ref="I3:I34" si="1">F3/G3</f>
        <v>11.385714285714286</v>
      </c>
      <c r="J3">
        <v>1</v>
      </c>
      <c r="K3" t="s">
        <v>160</v>
      </c>
      <c r="L3" s="1">
        <f t="shared" ref="L3:L34" si="2">H3+J3*$R$6</f>
        <v>66.964285714285722</v>
      </c>
      <c r="M3" s="1">
        <f t="shared" ref="M3:M34" si="3">I3+J3*$S$6</f>
        <v>19.153571428571432</v>
      </c>
      <c r="N3">
        <f>AVERAGE(L3:L14)</f>
        <v>95.263392857142875</v>
      </c>
      <c r="O3">
        <f>AVERAGE(M3:M14)</f>
        <v>29.177380952380954</v>
      </c>
      <c r="R3" t="s">
        <v>211</v>
      </c>
      <c r="S3" t="s">
        <v>212</v>
      </c>
    </row>
    <row r="4" spans="1:29" x14ac:dyDescent="0.3">
      <c r="A4">
        <v>2</v>
      </c>
      <c r="B4">
        <v>1</v>
      </c>
      <c r="C4" t="s">
        <v>11</v>
      </c>
      <c r="D4" t="s">
        <v>140</v>
      </c>
      <c r="E4">
        <v>100</v>
      </c>
      <c r="F4">
        <v>33.5</v>
      </c>
      <c r="G4">
        <v>1.4</v>
      </c>
      <c r="H4">
        <f t="shared" si="0"/>
        <v>71.428571428571431</v>
      </c>
      <c r="I4">
        <f t="shared" si="1"/>
        <v>23.928571428571431</v>
      </c>
      <c r="K4" t="s">
        <v>139</v>
      </c>
      <c r="L4" s="1">
        <f t="shared" si="2"/>
        <v>71.428571428571431</v>
      </c>
      <c r="M4" s="1">
        <f t="shared" si="3"/>
        <v>23.928571428571431</v>
      </c>
      <c r="Q4" t="s">
        <v>214</v>
      </c>
      <c r="R4">
        <f>120/(1.4*2)</f>
        <v>42.857142857142861</v>
      </c>
      <c r="S4">
        <f>20/(1.4*2)</f>
        <v>7.1428571428571432</v>
      </c>
    </row>
    <row r="5" spans="1:29" x14ac:dyDescent="0.3">
      <c r="A5">
        <v>3</v>
      </c>
      <c r="B5">
        <v>1</v>
      </c>
      <c r="C5" t="s">
        <v>11</v>
      </c>
      <c r="D5" t="s">
        <v>141</v>
      </c>
      <c r="E5">
        <v>119</v>
      </c>
      <c r="F5">
        <f>18.35+15.46+3.62+4.54*2</f>
        <v>46.51</v>
      </c>
      <c r="G5" s="2">
        <v>1.4</v>
      </c>
      <c r="H5">
        <f t="shared" si="0"/>
        <v>85</v>
      </c>
      <c r="I5">
        <f t="shared" si="1"/>
        <v>33.221428571428575</v>
      </c>
      <c r="K5" t="s">
        <v>139</v>
      </c>
      <c r="L5" s="1">
        <f t="shared" si="2"/>
        <v>85</v>
      </c>
      <c r="M5" s="1">
        <f t="shared" si="3"/>
        <v>33.221428571428575</v>
      </c>
      <c r="Q5" t="s">
        <v>215</v>
      </c>
      <c r="R5">
        <f>95/(1.4*2)</f>
        <v>33.928571428571431</v>
      </c>
      <c r="S5">
        <f>23.5/(1.4*2)</f>
        <v>8.3928571428571441</v>
      </c>
    </row>
    <row r="6" spans="1:29" x14ac:dyDescent="0.3">
      <c r="A6">
        <v>4</v>
      </c>
      <c r="B6">
        <v>1</v>
      </c>
      <c r="C6" t="s">
        <v>11</v>
      </c>
      <c r="D6" t="s">
        <v>142</v>
      </c>
      <c r="E6">
        <v>119</v>
      </c>
      <c r="G6">
        <v>1.4</v>
      </c>
      <c r="H6">
        <f t="shared" si="0"/>
        <v>85</v>
      </c>
      <c r="I6">
        <f t="shared" si="1"/>
        <v>0</v>
      </c>
      <c r="K6" t="s">
        <v>139</v>
      </c>
      <c r="L6" s="1">
        <f t="shared" si="2"/>
        <v>85</v>
      </c>
      <c r="M6" s="1">
        <f t="shared" si="3"/>
        <v>0</v>
      </c>
      <c r="Q6" t="s">
        <v>216</v>
      </c>
      <c r="R6">
        <f>AVERAGE(R4:R5)</f>
        <v>38.392857142857146</v>
      </c>
      <c r="S6">
        <f>AVERAGE(S4:S5)</f>
        <v>7.7678571428571441</v>
      </c>
    </row>
    <row r="7" spans="1:29" x14ac:dyDescent="0.3">
      <c r="A7">
        <v>5</v>
      </c>
      <c r="B7">
        <v>1</v>
      </c>
      <c r="C7" t="s">
        <v>22</v>
      </c>
      <c r="D7" t="s">
        <v>143</v>
      </c>
      <c r="E7">
        <v>147</v>
      </c>
      <c r="F7">
        <v>40</v>
      </c>
      <c r="G7">
        <v>1.6</v>
      </c>
      <c r="H7">
        <f t="shared" si="0"/>
        <v>91.875</v>
      </c>
      <c r="I7">
        <f t="shared" si="1"/>
        <v>25</v>
      </c>
      <c r="K7" t="s">
        <v>139</v>
      </c>
      <c r="L7" s="1">
        <f t="shared" si="2"/>
        <v>91.875</v>
      </c>
      <c r="M7" s="1">
        <f t="shared" si="3"/>
        <v>25</v>
      </c>
    </row>
    <row r="8" spans="1:29" x14ac:dyDescent="0.3">
      <c r="A8">
        <v>6</v>
      </c>
      <c r="B8">
        <v>1</v>
      </c>
      <c r="C8" t="s">
        <v>11</v>
      </c>
      <c r="D8" t="s">
        <v>144</v>
      </c>
      <c r="E8">
        <v>139</v>
      </c>
      <c r="F8">
        <f>10.56+4.54*2+18.7+3.62</f>
        <v>41.96</v>
      </c>
      <c r="G8">
        <v>1.4</v>
      </c>
      <c r="H8">
        <f t="shared" si="0"/>
        <v>99.285714285714292</v>
      </c>
      <c r="I8">
        <f t="shared" si="1"/>
        <v>29.971428571428575</v>
      </c>
      <c r="K8" t="s">
        <v>139</v>
      </c>
      <c r="L8" s="1">
        <f t="shared" si="2"/>
        <v>99.285714285714292</v>
      </c>
      <c r="M8" s="1">
        <f t="shared" si="3"/>
        <v>29.971428571428575</v>
      </c>
    </row>
    <row r="9" spans="1:29" x14ac:dyDescent="0.3">
      <c r="A9">
        <v>7</v>
      </c>
      <c r="B9">
        <v>1</v>
      </c>
      <c r="C9" t="s">
        <v>11</v>
      </c>
      <c r="D9" t="s">
        <v>145</v>
      </c>
      <c r="E9">
        <v>139</v>
      </c>
      <c r="F9">
        <f>20.2+24.2+3.62+4.54*2</f>
        <v>57.099999999999994</v>
      </c>
      <c r="G9">
        <v>1.4</v>
      </c>
      <c r="H9">
        <f t="shared" si="0"/>
        <v>99.285714285714292</v>
      </c>
      <c r="I9">
        <f t="shared" si="1"/>
        <v>40.785714285714285</v>
      </c>
      <c r="K9" t="s">
        <v>139</v>
      </c>
      <c r="L9" s="1">
        <f t="shared" si="2"/>
        <v>99.285714285714292</v>
      </c>
      <c r="M9" s="1">
        <f t="shared" si="3"/>
        <v>40.785714285714285</v>
      </c>
      <c r="Z9" s="3" t="s">
        <v>207</v>
      </c>
      <c r="AA9" s="10"/>
      <c r="AB9" s="10"/>
      <c r="AC9" s="4"/>
    </row>
    <row r="10" spans="1:29" x14ac:dyDescent="0.3">
      <c r="A10">
        <v>8</v>
      </c>
      <c r="B10">
        <v>1</v>
      </c>
      <c r="C10" t="s">
        <v>22</v>
      </c>
      <c r="D10" t="s">
        <v>146</v>
      </c>
      <c r="E10">
        <v>141</v>
      </c>
      <c r="F10">
        <v>28</v>
      </c>
      <c r="G10">
        <v>1.4</v>
      </c>
      <c r="H10">
        <f t="shared" si="0"/>
        <v>100.71428571428572</v>
      </c>
      <c r="I10">
        <f t="shared" si="1"/>
        <v>20</v>
      </c>
      <c r="L10" s="1">
        <f t="shared" si="2"/>
        <v>100.71428571428572</v>
      </c>
      <c r="M10" s="1">
        <f t="shared" si="3"/>
        <v>20</v>
      </c>
      <c r="Z10" s="5" t="s">
        <v>135</v>
      </c>
      <c r="AA10" s="9" t="s">
        <v>136</v>
      </c>
      <c r="AB10" s="9"/>
      <c r="AC10" s="6"/>
    </row>
    <row r="11" spans="1:29" x14ac:dyDescent="0.3">
      <c r="A11">
        <v>9</v>
      </c>
      <c r="B11">
        <v>1</v>
      </c>
      <c r="C11" t="s">
        <v>22</v>
      </c>
      <c r="D11" t="s">
        <v>147</v>
      </c>
      <c r="E11">
        <v>151.80000000000001</v>
      </c>
      <c r="F11">
        <v>41</v>
      </c>
      <c r="G11">
        <v>1.4</v>
      </c>
      <c r="H11">
        <f t="shared" si="0"/>
        <v>108.42857142857144</v>
      </c>
      <c r="I11">
        <f t="shared" si="1"/>
        <v>29.285714285714288</v>
      </c>
      <c r="L11" s="1">
        <f t="shared" si="2"/>
        <v>108.42857142857144</v>
      </c>
      <c r="M11" s="1">
        <f t="shared" si="3"/>
        <v>29.285714285714288</v>
      </c>
      <c r="Z11" s="5">
        <f>AVERAGE(L3:L62)</f>
        <v>274.02734788359788</v>
      </c>
      <c r="AA11" s="9">
        <f>AVERAGE(M3:M62)</f>
        <v>46.777071759259243</v>
      </c>
      <c r="AB11" s="9"/>
      <c r="AC11" s="6"/>
    </row>
    <row r="12" spans="1:29" x14ac:dyDescent="0.3">
      <c r="A12">
        <v>10</v>
      </c>
      <c r="B12">
        <v>1</v>
      </c>
      <c r="C12" t="s">
        <v>22</v>
      </c>
      <c r="D12" t="s">
        <v>148</v>
      </c>
      <c r="E12">
        <v>174</v>
      </c>
      <c r="F12">
        <v>72.599999999999994</v>
      </c>
      <c r="G12">
        <v>1.6</v>
      </c>
      <c r="H12">
        <f t="shared" si="0"/>
        <v>108.75</v>
      </c>
      <c r="I12">
        <f t="shared" si="1"/>
        <v>45.374999999999993</v>
      </c>
      <c r="L12" s="1">
        <f t="shared" si="2"/>
        <v>108.75</v>
      </c>
      <c r="M12" s="1">
        <f t="shared" si="3"/>
        <v>45.374999999999993</v>
      </c>
      <c r="Z12" s="5"/>
      <c r="AA12" s="9"/>
      <c r="AB12" s="9"/>
      <c r="AC12" s="6"/>
    </row>
    <row r="13" spans="1:29" x14ac:dyDescent="0.3">
      <c r="A13">
        <v>11</v>
      </c>
      <c r="B13">
        <v>1</v>
      </c>
      <c r="C13" t="s">
        <v>22</v>
      </c>
      <c r="D13" t="s">
        <v>149</v>
      </c>
      <c r="E13">
        <v>158</v>
      </c>
      <c r="F13">
        <v>72.8</v>
      </c>
      <c r="G13">
        <v>1.4</v>
      </c>
      <c r="H13">
        <f t="shared" si="0"/>
        <v>112.85714285714286</v>
      </c>
      <c r="I13">
        <f t="shared" si="1"/>
        <v>52</v>
      </c>
      <c r="L13" s="1">
        <f t="shared" si="2"/>
        <v>112.85714285714286</v>
      </c>
      <c r="M13" s="1">
        <f t="shared" si="3"/>
        <v>52</v>
      </c>
      <c r="Z13" s="5"/>
      <c r="AA13" s="9" t="s">
        <v>222</v>
      </c>
      <c r="AB13" s="9"/>
      <c r="AC13" s="6"/>
    </row>
    <row r="14" spans="1:29" x14ac:dyDescent="0.3">
      <c r="A14">
        <v>12</v>
      </c>
      <c r="B14">
        <v>1</v>
      </c>
      <c r="C14" t="s">
        <v>11</v>
      </c>
      <c r="D14" t="s">
        <v>150</v>
      </c>
      <c r="E14">
        <v>159</v>
      </c>
      <c r="F14">
        <f>22.6+17.75+3.62</f>
        <v>43.97</v>
      </c>
      <c r="G14">
        <v>1.4</v>
      </c>
      <c r="H14">
        <f t="shared" si="0"/>
        <v>113.57142857142858</v>
      </c>
      <c r="I14">
        <f t="shared" si="1"/>
        <v>31.407142857142858</v>
      </c>
      <c r="K14" t="s">
        <v>139</v>
      </c>
      <c r="L14" s="1">
        <f t="shared" si="2"/>
        <v>113.57142857142858</v>
      </c>
      <c r="M14" s="1">
        <f t="shared" si="3"/>
        <v>31.407142857142858</v>
      </c>
      <c r="Z14" s="5" t="s">
        <v>217</v>
      </c>
      <c r="AA14" s="9">
        <f>N3</f>
        <v>95.263392857142875</v>
      </c>
      <c r="AB14" s="9">
        <f>O3</f>
        <v>29.177380952380954</v>
      </c>
      <c r="AC14" s="6"/>
    </row>
    <row r="15" spans="1:29" x14ac:dyDescent="0.3">
      <c r="A15">
        <v>13</v>
      </c>
      <c r="B15">
        <v>2</v>
      </c>
      <c r="C15" t="s">
        <v>70</v>
      </c>
      <c r="D15" t="s">
        <v>151</v>
      </c>
      <c r="E15">
        <v>169</v>
      </c>
      <c r="F15">
        <v>70</v>
      </c>
      <c r="G15">
        <v>1.4</v>
      </c>
      <c r="H15">
        <f t="shared" si="0"/>
        <v>120.71428571428572</v>
      </c>
      <c r="I15">
        <f t="shared" si="1"/>
        <v>50</v>
      </c>
      <c r="K15" t="s">
        <v>139</v>
      </c>
      <c r="L15" s="1">
        <f t="shared" si="2"/>
        <v>120.71428571428572</v>
      </c>
      <c r="M15" s="1">
        <f t="shared" si="3"/>
        <v>50</v>
      </c>
      <c r="N15">
        <f>AVERAGE(L15:L26)</f>
        <v>136.99107142857142</v>
      </c>
      <c r="O15">
        <f>AVERAGE(M15:M26)</f>
        <v>36.34077380952381</v>
      </c>
      <c r="Z15" s="5" t="s">
        <v>218</v>
      </c>
      <c r="AA15" s="9">
        <f>N15</f>
        <v>136.99107142857142</v>
      </c>
      <c r="AB15" s="9">
        <f>O15</f>
        <v>36.34077380952381</v>
      </c>
      <c r="AC15" s="6"/>
    </row>
    <row r="16" spans="1:29" x14ac:dyDescent="0.3">
      <c r="A16">
        <v>14</v>
      </c>
      <c r="B16">
        <v>2</v>
      </c>
      <c r="C16" t="s">
        <v>70</v>
      </c>
      <c r="D16" t="s">
        <v>152</v>
      </c>
      <c r="E16">
        <v>169</v>
      </c>
      <c r="F16">
        <v>30</v>
      </c>
      <c r="G16">
        <v>1.4</v>
      </c>
      <c r="H16">
        <f t="shared" si="0"/>
        <v>120.71428571428572</v>
      </c>
      <c r="I16">
        <f t="shared" si="1"/>
        <v>21.428571428571431</v>
      </c>
      <c r="K16" t="s">
        <v>139</v>
      </c>
      <c r="L16" s="1">
        <f t="shared" si="2"/>
        <v>120.71428571428572</v>
      </c>
      <c r="M16" s="1">
        <f t="shared" si="3"/>
        <v>21.428571428571431</v>
      </c>
      <c r="Z16" s="5" t="s">
        <v>219</v>
      </c>
      <c r="AA16" s="9">
        <f>N27</f>
        <v>172.9553571428572</v>
      </c>
      <c r="AB16" s="9">
        <f>O27</f>
        <v>41.976686507936513</v>
      </c>
      <c r="AC16" s="6"/>
    </row>
    <row r="17" spans="1:29" x14ac:dyDescent="0.3">
      <c r="A17">
        <v>15</v>
      </c>
      <c r="B17">
        <v>2</v>
      </c>
      <c r="C17" t="s">
        <v>11</v>
      </c>
      <c r="D17" t="s">
        <v>153</v>
      </c>
      <c r="E17">
        <v>169</v>
      </c>
      <c r="F17">
        <f>18.35+15.46+3.62+9.2*2</f>
        <v>55.83</v>
      </c>
      <c r="G17">
        <v>1.4</v>
      </c>
      <c r="H17">
        <f t="shared" si="0"/>
        <v>120.71428571428572</v>
      </c>
      <c r="I17">
        <f t="shared" si="1"/>
        <v>39.878571428571426</v>
      </c>
      <c r="K17" t="s">
        <v>139</v>
      </c>
      <c r="L17" s="1">
        <f t="shared" si="2"/>
        <v>120.71428571428572</v>
      </c>
      <c r="M17" s="1">
        <f t="shared" si="3"/>
        <v>39.878571428571426</v>
      </c>
      <c r="Z17" s="5" t="s">
        <v>220</v>
      </c>
      <c r="AA17" s="9">
        <f>N39</f>
        <v>285.87450396825398</v>
      </c>
      <c r="AB17" s="9">
        <f>O39</f>
        <v>44.60644841269842</v>
      </c>
      <c r="AC17" s="6"/>
    </row>
    <row r="18" spans="1:29" x14ac:dyDescent="0.3">
      <c r="A18">
        <v>16</v>
      </c>
      <c r="B18">
        <v>2</v>
      </c>
      <c r="C18" t="s">
        <v>11</v>
      </c>
      <c r="D18" t="s">
        <v>142</v>
      </c>
      <c r="E18">
        <v>169</v>
      </c>
      <c r="F18">
        <f>10.61+3.62+13.83+9.2*2</f>
        <v>46.46</v>
      </c>
      <c r="G18">
        <v>1.4</v>
      </c>
      <c r="H18">
        <f t="shared" si="0"/>
        <v>120.71428571428572</v>
      </c>
      <c r="I18">
        <f t="shared" si="1"/>
        <v>33.18571428571429</v>
      </c>
      <c r="K18" t="s">
        <v>139</v>
      </c>
      <c r="L18" s="1">
        <f t="shared" si="2"/>
        <v>120.71428571428572</v>
      </c>
      <c r="M18" s="1">
        <f t="shared" si="3"/>
        <v>33.18571428571429</v>
      </c>
      <c r="Z18" s="5" t="s">
        <v>221</v>
      </c>
      <c r="AA18" s="9">
        <f>N51</f>
        <v>679.05241402116405</v>
      </c>
      <c r="AB18" s="9">
        <f>O51</f>
        <v>81.784069113756615</v>
      </c>
      <c r="AC18" s="6"/>
    </row>
    <row r="19" spans="1:29" x14ac:dyDescent="0.3">
      <c r="A19">
        <v>17</v>
      </c>
      <c r="B19">
        <v>2</v>
      </c>
      <c r="C19" t="s">
        <v>11</v>
      </c>
      <c r="D19" t="s">
        <v>154</v>
      </c>
      <c r="E19">
        <v>189</v>
      </c>
      <c r="F19">
        <f>10.56+18.7+3.62+9.2*2</f>
        <v>51.279999999999994</v>
      </c>
      <c r="G19">
        <v>1.4</v>
      </c>
      <c r="H19">
        <f t="shared" si="0"/>
        <v>135</v>
      </c>
      <c r="I19">
        <f t="shared" si="1"/>
        <v>36.628571428571426</v>
      </c>
      <c r="K19" t="s">
        <v>139</v>
      </c>
      <c r="L19" s="1">
        <f t="shared" si="2"/>
        <v>135</v>
      </c>
      <c r="M19" s="1">
        <f t="shared" si="3"/>
        <v>36.628571428571426</v>
      </c>
      <c r="Z19" s="5"/>
      <c r="AA19" s="9"/>
      <c r="AB19" s="9"/>
      <c r="AC19" s="6"/>
    </row>
    <row r="20" spans="1:29" x14ac:dyDescent="0.3">
      <c r="A20">
        <v>18</v>
      </c>
      <c r="B20">
        <v>2</v>
      </c>
      <c r="C20" t="s">
        <v>11</v>
      </c>
      <c r="D20" t="s">
        <v>155</v>
      </c>
      <c r="E20">
        <v>189</v>
      </c>
      <c r="F20">
        <f>20.2+24.2+3.62+9.2*2</f>
        <v>66.419999999999987</v>
      </c>
      <c r="G20">
        <v>1.4</v>
      </c>
      <c r="H20">
        <f t="shared" si="0"/>
        <v>135</v>
      </c>
      <c r="I20">
        <f t="shared" si="1"/>
        <v>47.442857142857136</v>
      </c>
      <c r="K20" t="s">
        <v>139</v>
      </c>
      <c r="L20" s="1">
        <f t="shared" si="2"/>
        <v>135</v>
      </c>
      <c r="M20" s="1">
        <f t="shared" si="3"/>
        <v>47.442857142857136</v>
      </c>
      <c r="Z20" s="5"/>
      <c r="AA20" s="9" t="s">
        <v>223</v>
      </c>
      <c r="AB20" s="9"/>
      <c r="AC20" s="6"/>
    </row>
    <row r="21" spans="1:29" x14ac:dyDescent="0.3">
      <c r="A21">
        <v>19</v>
      </c>
      <c r="B21">
        <v>2</v>
      </c>
      <c r="C21" t="s">
        <v>70</v>
      </c>
      <c r="D21" t="s">
        <v>159</v>
      </c>
      <c r="E21">
        <v>140</v>
      </c>
      <c r="F21">
        <v>25</v>
      </c>
      <c r="G21">
        <v>1.4</v>
      </c>
      <c r="H21">
        <f t="shared" si="0"/>
        <v>100</v>
      </c>
      <c r="I21">
        <f t="shared" si="1"/>
        <v>17.857142857142858</v>
      </c>
      <c r="J21">
        <v>1</v>
      </c>
      <c r="K21" t="s">
        <v>160</v>
      </c>
      <c r="L21" s="1">
        <f t="shared" si="2"/>
        <v>138.39285714285714</v>
      </c>
      <c r="M21" s="1">
        <f t="shared" si="3"/>
        <v>25.625</v>
      </c>
      <c r="Z21" s="5"/>
      <c r="AA21" s="9" t="s">
        <v>135</v>
      </c>
      <c r="AB21" s="9" t="s">
        <v>136</v>
      </c>
      <c r="AC21" s="6"/>
    </row>
    <row r="22" spans="1:29" x14ac:dyDescent="0.3">
      <c r="A22">
        <v>20</v>
      </c>
      <c r="B22">
        <v>2</v>
      </c>
      <c r="C22" t="s">
        <v>22</v>
      </c>
      <c r="D22" t="s">
        <v>163</v>
      </c>
      <c r="E22">
        <v>168</v>
      </c>
      <c r="F22">
        <v>70</v>
      </c>
      <c r="G22">
        <v>1.6</v>
      </c>
      <c r="H22">
        <f t="shared" si="0"/>
        <v>105</v>
      </c>
      <c r="I22">
        <f t="shared" si="1"/>
        <v>43.75</v>
      </c>
      <c r="J22">
        <v>1</v>
      </c>
      <c r="K22" t="s">
        <v>164</v>
      </c>
      <c r="L22" s="1">
        <f t="shared" si="2"/>
        <v>143.39285714285714</v>
      </c>
      <c r="M22" s="1">
        <f t="shared" si="3"/>
        <v>51.517857142857146</v>
      </c>
      <c r="Z22" s="5" t="s">
        <v>217</v>
      </c>
      <c r="AA22" s="9">
        <f>N3/Z$11</f>
        <v>0.34764191819865048</v>
      </c>
      <c r="AB22" s="9">
        <f>O3/AA$11</f>
        <v>0.62375390025574795</v>
      </c>
      <c r="AC22" s="6"/>
    </row>
    <row r="23" spans="1:29" x14ac:dyDescent="0.3">
      <c r="A23">
        <v>21</v>
      </c>
      <c r="B23">
        <v>2</v>
      </c>
      <c r="C23" t="s">
        <v>70</v>
      </c>
      <c r="D23" t="s">
        <v>165</v>
      </c>
      <c r="E23">
        <v>149</v>
      </c>
      <c r="F23">
        <v>19</v>
      </c>
      <c r="G23">
        <v>1.4</v>
      </c>
      <c r="H23">
        <f t="shared" si="0"/>
        <v>106.42857142857143</v>
      </c>
      <c r="I23">
        <f t="shared" si="1"/>
        <v>13.571428571428573</v>
      </c>
      <c r="J23">
        <v>1</v>
      </c>
      <c r="K23" t="s">
        <v>160</v>
      </c>
      <c r="L23" s="1">
        <f t="shared" si="2"/>
        <v>144.82142857142858</v>
      </c>
      <c r="M23" s="1">
        <f t="shared" si="3"/>
        <v>21.339285714285715</v>
      </c>
      <c r="Z23" s="5" t="s">
        <v>218</v>
      </c>
      <c r="AA23" s="9">
        <f>N15/Z$11</f>
        <v>0.4999175173083924</v>
      </c>
      <c r="AB23" s="9">
        <f>O15/AA$11</f>
        <v>0.77689287599175916</v>
      </c>
      <c r="AC23" s="6"/>
    </row>
    <row r="24" spans="1:29" x14ac:dyDescent="0.3">
      <c r="A24">
        <v>22</v>
      </c>
      <c r="B24">
        <v>2</v>
      </c>
      <c r="C24" t="s">
        <v>22</v>
      </c>
      <c r="D24" t="s">
        <v>156</v>
      </c>
      <c r="E24">
        <v>211.2</v>
      </c>
      <c r="F24">
        <v>50</v>
      </c>
      <c r="G24">
        <v>1.4</v>
      </c>
      <c r="H24">
        <f t="shared" si="0"/>
        <v>150.85714285714286</v>
      </c>
      <c r="I24">
        <f t="shared" si="1"/>
        <v>35.714285714285715</v>
      </c>
      <c r="K24" t="s">
        <v>139</v>
      </c>
      <c r="L24" s="1">
        <f t="shared" si="2"/>
        <v>150.85714285714286</v>
      </c>
      <c r="M24" s="1">
        <f t="shared" si="3"/>
        <v>35.714285714285715</v>
      </c>
      <c r="Z24" s="5" t="s">
        <v>219</v>
      </c>
      <c r="AA24" s="9">
        <f>N27/Z$11</f>
        <v>0.63116093513529781</v>
      </c>
      <c r="AB24" s="9">
        <f>O27/AA$11</f>
        <v>0.89737738873377593</v>
      </c>
      <c r="AC24" s="6"/>
    </row>
    <row r="25" spans="1:29" x14ac:dyDescent="0.3">
      <c r="A25">
        <v>23</v>
      </c>
      <c r="B25">
        <v>2</v>
      </c>
      <c r="C25" t="s">
        <v>11</v>
      </c>
      <c r="D25" t="s">
        <v>157</v>
      </c>
      <c r="E25">
        <v>219</v>
      </c>
      <c r="F25">
        <f>10.61+3.62+13.83+20</f>
        <v>48.06</v>
      </c>
      <c r="G25">
        <v>1.4</v>
      </c>
      <c r="H25">
        <f t="shared" si="0"/>
        <v>156.42857142857144</v>
      </c>
      <c r="I25">
        <f t="shared" si="1"/>
        <v>34.328571428571429</v>
      </c>
      <c r="K25" t="s">
        <v>139</v>
      </c>
      <c r="L25" s="1">
        <f t="shared" si="2"/>
        <v>156.42857142857144</v>
      </c>
      <c r="M25" s="1">
        <f t="shared" si="3"/>
        <v>34.328571428571429</v>
      </c>
      <c r="Z25" s="5" t="s">
        <v>220</v>
      </c>
      <c r="AA25" s="9">
        <f>N39/Z$11</f>
        <v>1.0432334808045822</v>
      </c>
      <c r="AB25" s="9">
        <f>O39/AA$11</f>
        <v>0.95359642523730315</v>
      </c>
      <c r="AC25" s="6"/>
    </row>
    <row r="26" spans="1:29" x14ac:dyDescent="0.3">
      <c r="A26">
        <v>24</v>
      </c>
      <c r="B26">
        <v>2</v>
      </c>
      <c r="C26" t="s">
        <v>22</v>
      </c>
      <c r="D26" t="s">
        <v>158</v>
      </c>
      <c r="E26">
        <v>220</v>
      </c>
      <c r="F26">
        <v>54.6</v>
      </c>
      <c r="G26">
        <v>1.4</v>
      </c>
      <c r="H26">
        <f t="shared" si="0"/>
        <v>157.14285714285714</v>
      </c>
      <c r="I26">
        <f t="shared" si="1"/>
        <v>39</v>
      </c>
      <c r="L26" s="1">
        <f t="shared" si="2"/>
        <v>157.14285714285714</v>
      </c>
      <c r="M26" s="1">
        <f t="shared" si="3"/>
        <v>39</v>
      </c>
      <c r="Z26" s="7" t="s">
        <v>221</v>
      </c>
      <c r="AA26" s="11">
        <f>N51/Z$11</f>
        <v>2.4780461485530774</v>
      </c>
      <c r="AB26" s="11">
        <f>O51/AA$11</f>
        <v>1.748379409781416</v>
      </c>
      <c r="AC26" s="8"/>
    </row>
    <row r="27" spans="1:29" x14ac:dyDescent="0.3">
      <c r="A27">
        <v>25</v>
      </c>
      <c r="B27">
        <v>3</v>
      </c>
      <c r="C27" t="s">
        <v>11</v>
      </c>
      <c r="D27" t="s">
        <v>150</v>
      </c>
      <c r="E27">
        <v>229</v>
      </c>
      <c r="F27">
        <f>9.2+3.62+22.6+17.75</f>
        <v>53.17</v>
      </c>
      <c r="G27" s="2">
        <v>1.4</v>
      </c>
      <c r="H27">
        <f t="shared" si="0"/>
        <v>163.57142857142858</v>
      </c>
      <c r="I27">
        <f t="shared" si="1"/>
        <v>37.978571428571435</v>
      </c>
      <c r="K27" t="s">
        <v>139</v>
      </c>
      <c r="L27" s="1">
        <f t="shared" si="2"/>
        <v>163.57142857142858</v>
      </c>
      <c r="M27" s="1">
        <f t="shared" si="3"/>
        <v>37.978571428571435</v>
      </c>
      <c r="N27">
        <f>AVERAGE(L27:L38)</f>
        <v>172.9553571428572</v>
      </c>
      <c r="O27">
        <f>AVERAGE(M27:M38)</f>
        <v>41.976686507936513</v>
      </c>
    </row>
    <row r="28" spans="1:29" x14ac:dyDescent="0.3">
      <c r="A28">
        <v>26</v>
      </c>
      <c r="B28">
        <v>3</v>
      </c>
      <c r="C28" t="s">
        <v>22</v>
      </c>
      <c r="D28" t="s">
        <v>161</v>
      </c>
      <c r="E28">
        <v>232.2</v>
      </c>
      <c r="F28">
        <v>40</v>
      </c>
      <c r="G28">
        <v>1.4</v>
      </c>
      <c r="H28">
        <f t="shared" si="0"/>
        <v>165.85714285714286</v>
      </c>
      <c r="I28">
        <f t="shared" si="1"/>
        <v>28.571428571428573</v>
      </c>
      <c r="L28" s="1">
        <f t="shared" si="2"/>
        <v>165.85714285714286</v>
      </c>
      <c r="M28" s="1">
        <f t="shared" si="3"/>
        <v>28.571428571428573</v>
      </c>
    </row>
    <row r="29" spans="1:29" x14ac:dyDescent="0.3">
      <c r="A29">
        <v>27</v>
      </c>
      <c r="B29">
        <v>3</v>
      </c>
      <c r="C29" t="s">
        <v>22</v>
      </c>
      <c r="D29" t="s">
        <v>162</v>
      </c>
      <c r="E29">
        <v>233.5</v>
      </c>
      <c r="F29">
        <v>76</v>
      </c>
      <c r="G29">
        <v>1.4</v>
      </c>
      <c r="H29">
        <f t="shared" si="0"/>
        <v>166.78571428571431</v>
      </c>
      <c r="I29">
        <f t="shared" si="1"/>
        <v>54.285714285714292</v>
      </c>
      <c r="L29" s="1">
        <f t="shared" si="2"/>
        <v>166.78571428571431</v>
      </c>
      <c r="M29" s="1">
        <f t="shared" si="3"/>
        <v>54.285714285714292</v>
      </c>
    </row>
    <row r="30" spans="1:29" x14ac:dyDescent="0.3">
      <c r="A30">
        <v>28</v>
      </c>
      <c r="B30">
        <v>3</v>
      </c>
      <c r="C30" t="s">
        <v>11</v>
      </c>
      <c r="D30" t="s">
        <v>166</v>
      </c>
      <c r="E30">
        <v>239</v>
      </c>
      <c r="F30">
        <f>20+10.56+18.7+3.62</f>
        <v>52.88</v>
      </c>
      <c r="G30">
        <v>1.4</v>
      </c>
      <c r="H30">
        <f t="shared" si="0"/>
        <v>170.71428571428572</v>
      </c>
      <c r="I30">
        <f t="shared" si="1"/>
        <v>37.771428571428572</v>
      </c>
      <c r="K30" t="s">
        <v>139</v>
      </c>
      <c r="L30" s="1">
        <f t="shared" si="2"/>
        <v>170.71428571428572</v>
      </c>
      <c r="M30" s="1">
        <f t="shared" si="3"/>
        <v>37.771428571428572</v>
      </c>
    </row>
    <row r="31" spans="1:29" x14ac:dyDescent="0.3">
      <c r="A31">
        <v>29</v>
      </c>
      <c r="B31">
        <v>3</v>
      </c>
      <c r="C31" t="s">
        <v>22</v>
      </c>
      <c r="D31" t="s">
        <v>167</v>
      </c>
      <c r="E31">
        <v>240</v>
      </c>
      <c r="F31">
        <v>63.8</v>
      </c>
      <c r="G31">
        <v>1.4</v>
      </c>
      <c r="H31">
        <f t="shared" si="0"/>
        <v>171.42857142857144</v>
      </c>
      <c r="I31">
        <f t="shared" si="1"/>
        <v>45.571428571428569</v>
      </c>
      <c r="L31" s="1">
        <f t="shared" si="2"/>
        <v>171.42857142857144</v>
      </c>
      <c r="M31" s="1">
        <f t="shared" si="3"/>
        <v>45.571428571428569</v>
      </c>
    </row>
    <row r="32" spans="1:29" x14ac:dyDescent="0.3">
      <c r="A32">
        <v>30</v>
      </c>
      <c r="B32">
        <v>3</v>
      </c>
      <c r="C32" t="s">
        <v>22</v>
      </c>
      <c r="D32" t="s">
        <v>168</v>
      </c>
      <c r="E32">
        <v>240</v>
      </c>
      <c r="F32">
        <v>66.599999999999994</v>
      </c>
      <c r="G32">
        <v>1.4</v>
      </c>
      <c r="H32">
        <f t="shared" si="0"/>
        <v>171.42857142857144</v>
      </c>
      <c r="I32">
        <f t="shared" si="1"/>
        <v>47.571428571428569</v>
      </c>
      <c r="L32" s="1">
        <f t="shared" si="2"/>
        <v>171.42857142857144</v>
      </c>
      <c r="M32" s="1">
        <f t="shared" si="3"/>
        <v>47.571428571428569</v>
      </c>
    </row>
    <row r="33" spans="1:15" x14ac:dyDescent="0.3">
      <c r="A33">
        <v>31</v>
      </c>
      <c r="B33">
        <v>3</v>
      </c>
      <c r="C33" t="s">
        <v>22</v>
      </c>
      <c r="D33" t="s">
        <v>169</v>
      </c>
      <c r="E33">
        <v>242</v>
      </c>
      <c r="F33">
        <v>33</v>
      </c>
      <c r="G33">
        <v>1.4</v>
      </c>
      <c r="H33">
        <f t="shared" si="0"/>
        <v>172.85714285714286</v>
      </c>
      <c r="I33">
        <f t="shared" si="1"/>
        <v>23.571428571428573</v>
      </c>
      <c r="L33" s="1">
        <f t="shared" si="2"/>
        <v>172.85714285714286</v>
      </c>
      <c r="M33" s="1">
        <f t="shared" si="3"/>
        <v>23.571428571428573</v>
      </c>
    </row>
    <row r="34" spans="1:15" x14ac:dyDescent="0.3">
      <c r="A34">
        <v>32</v>
      </c>
      <c r="B34">
        <v>3</v>
      </c>
      <c r="C34" t="s">
        <v>22</v>
      </c>
      <c r="D34" t="s">
        <v>170</v>
      </c>
      <c r="E34">
        <v>245</v>
      </c>
      <c r="F34">
        <v>48</v>
      </c>
      <c r="G34">
        <v>1.4</v>
      </c>
      <c r="H34">
        <f t="shared" si="0"/>
        <v>175</v>
      </c>
      <c r="I34">
        <f t="shared" si="1"/>
        <v>34.285714285714285</v>
      </c>
      <c r="L34" s="1">
        <f t="shared" si="2"/>
        <v>175</v>
      </c>
      <c r="M34" s="1">
        <f t="shared" si="3"/>
        <v>34.285714285714285</v>
      </c>
    </row>
    <row r="35" spans="1:15" x14ac:dyDescent="0.3">
      <c r="A35">
        <v>33</v>
      </c>
      <c r="B35">
        <v>3</v>
      </c>
      <c r="C35" t="s">
        <v>22</v>
      </c>
      <c r="D35" t="s">
        <v>174</v>
      </c>
      <c r="E35">
        <v>194</v>
      </c>
      <c r="F35">
        <v>70</v>
      </c>
      <c r="G35">
        <v>1.4</v>
      </c>
      <c r="H35">
        <f t="shared" ref="H35:H62" si="4">E35/G35</f>
        <v>138.57142857142858</v>
      </c>
      <c r="I35">
        <f t="shared" ref="I35:I62" si="5">F35/G35</f>
        <v>50</v>
      </c>
      <c r="J35">
        <v>1</v>
      </c>
      <c r="K35" t="s">
        <v>164</v>
      </c>
      <c r="L35" s="1">
        <f t="shared" ref="L35:L62" si="6">H35+J35*$R$6</f>
        <v>176.96428571428572</v>
      </c>
      <c r="M35" s="1">
        <f t="shared" ref="M35:M62" si="7">I35+J35*$S$6</f>
        <v>57.767857142857146</v>
      </c>
    </row>
    <row r="36" spans="1:15" x14ac:dyDescent="0.3">
      <c r="A36">
        <v>34</v>
      </c>
      <c r="B36">
        <v>3</v>
      </c>
      <c r="C36" t="s">
        <v>22</v>
      </c>
      <c r="D36" t="s">
        <v>171</v>
      </c>
      <c r="E36">
        <v>251.1</v>
      </c>
      <c r="F36">
        <v>67.400000000000006</v>
      </c>
      <c r="G36">
        <v>1.4</v>
      </c>
      <c r="H36">
        <f t="shared" si="4"/>
        <v>179.35714285714286</v>
      </c>
      <c r="I36">
        <f t="shared" si="5"/>
        <v>48.142857142857153</v>
      </c>
      <c r="L36" s="1">
        <f t="shared" si="6"/>
        <v>179.35714285714286</v>
      </c>
      <c r="M36" s="1">
        <f t="shared" si="7"/>
        <v>48.142857142857153</v>
      </c>
    </row>
    <row r="37" spans="1:15" x14ac:dyDescent="0.3">
      <c r="A37">
        <v>35</v>
      </c>
      <c r="B37">
        <v>3</v>
      </c>
      <c r="C37" t="s">
        <v>22</v>
      </c>
      <c r="D37" t="s">
        <v>172</v>
      </c>
      <c r="E37">
        <v>252</v>
      </c>
      <c r="F37">
        <v>70.400000000000006</v>
      </c>
      <c r="G37">
        <v>1.4</v>
      </c>
      <c r="H37">
        <f t="shared" si="4"/>
        <v>180</v>
      </c>
      <c r="I37">
        <f t="shared" si="5"/>
        <v>50.285714285714292</v>
      </c>
      <c r="L37" s="1">
        <f t="shared" si="6"/>
        <v>180</v>
      </c>
      <c r="M37" s="1">
        <f t="shared" si="7"/>
        <v>50.285714285714292</v>
      </c>
    </row>
    <row r="38" spans="1:15" x14ac:dyDescent="0.3">
      <c r="A38">
        <v>36</v>
      </c>
      <c r="B38">
        <v>3</v>
      </c>
      <c r="C38" t="s">
        <v>22</v>
      </c>
      <c r="D38" t="s">
        <v>173</v>
      </c>
      <c r="E38">
        <v>217.8</v>
      </c>
      <c r="F38">
        <v>45.5</v>
      </c>
      <c r="G38">
        <v>1.2</v>
      </c>
      <c r="H38">
        <f t="shared" si="4"/>
        <v>181.50000000000003</v>
      </c>
      <c r="I38">
        <f t="shared" si="5"/>
        <v>37.916666666666671</v>
      </c>
      <c r="L38" s="1">
        <f t="shared" si="6"/>
        <v>181.50000000000003</v>
      </c>
      <c r="M38" s="1">
        <f t="shared" si="7"/>
        <v>37.916666666666671</v>
      </c>
    </row>
    <row r="39" spans="1:15" x14ac:dyDescent="0.3">
      <c r="A39">
        <v>37</v>
      </c>
      <c r="B39">
        <v>4</v>
      </c>
      <c r="C39" t="s">
        <v>70</v>
      </c>
      <c r="D39" t="s">
        <v>180</v>
      </c>
      <c r="E39">
        <v>249</v>
      </c>
      <c r="F39">
        <v>33</v>
      </c>
      <c r="G39">
        <v>1.4</v>
      </c>
      <c r="H39">
        <f t="shared" si="4"/>
        <v>177.85714285714286</v>
      </c>
      <c r="I39">
        <f t="shared" si="5"/>
        <v>23.571428571428573</v>
      </c>
      <c r="J39">
        <v>1</v>
      </c>
      <c r="K39" t="s">
        <v>160</v>
      </c>
      <c r="L39" s="1">
        <f t="shared" si="6"/>
        <v>216.25</v>
      </c>
      <c r="M39" s="1">
        <f t="shared" si="7"/>
        <v>31.339285714285715</v>
      </c>
      <c r="N39">
        <f>AVERAGE(L39:L50)</f>
        <v>285.87450396825398</v>
      </c>
      <c r="O39">
        <f>AVERAGE(M39:M50)</f>
        <v>44.60644841269842</v>
      </c>
    </row>
    <row r="40" spans="1:15" x14ac:dyDescent="0.3">
      <c r="A40">
        <v>38</v>
      </c>
      <c r="B40">
        <v>4</v>
      </c>
      <c r="C40" t="s">
        <v>22</v>
      </c>
      <c r="D40" t="s">
        <v>175</v>
      </c>
      <c r="E40">
        <v>320</v>
      </c>
      <c r="F40">
        <v>62</v>
      </c>
      <c r="G40">
        <v>1.4</v>
      </c>
      <c r="H40">
        <f t="shared" si="4"/>
        <v>228.57142857142858</v>
      </c>
      <c r="I40">
        <f t="shared" si="5"/>
        <v>44.285714285714292</v>
      </c>
      <c r="L40" s="1">
        <f t="shared" si="6"/>
        <v>228.57142857142858</v>
      </c>
      <c r="M40" s="1">
        <f t="shared" si="7"/>
        <v>44.285714285714292</v>
      </c>
    </row>
    <row r="41" spans="1:15" x14ac:dyDescent="0.3">
      <c r="A41">
        <v>39</v>
      </c>
      <c r="B41">
        <v>4</v>
      </c>
      <c r="C41" t="s">
        <v>22</v>
      </c>
      <c r="D41" t="s">
        <v>176</v>
      </c>
      <c r="E41">
        <v>320.5</v>
      </c>
      <c r="F41">
        <v>57</v>
      </c>
      <c r="G41">
        <v>1.4</v>
      </c>
      <c r="H41">
        <f t="shared" si="4"/>
        <v>228.92857142857144</v>
      </c>
      <c r="I41">
        <f t="shared" si="5"/>
        <v>40.714285714285715</v>
      </c>
      <c r="L41" s="1">
        <f t="shared" si="6"/>
        <v>228.92857142857144</v>
      </c>
      <c r="M41" s="1">
        <f t="shared" si="7"/>
        <v>40.714285714285715</v>
      </c>
    </row>
    <row r="42" spans="1:15" x14ac:dyDescent="0.3">
      <c r="A42">
        <v>40</v>
      </c>
      <c r="B42">
        <v>4</v>
      </c>
      <c r="C42" t="s">
        <v>22</v>
      </c>
      <c r="D42" t="s">
        <v>181</v>
      </c>
      <c r="E42">
        <v>343.2</v>
      </c>
      <c r="F42">
        <v>56</v>
      </c>
      <c r="G42">
        <v>1.4</v>
      </c>
      <c r="H42">
        <f t="shared" si="4"/>
        <v>245.14285714285714</v>
      </c>
      <c r="I42">
        <f t="shared" si="5"/>
        <v>40</v>
      </c>
      <c r="L42" s="1">
        <f t="shared" si="6"/>
        <v>245.14285714285714</v>
      </c>
      <c r="M42" s="1">
        <f t="shared" si="7"/>
        <v>40</v>
      </c>
    </row>
    <row r="43" spans="1:15" x14ac:dyDescent="0.3">
      <c r="A43">
        <v>41</v>
      </c>
      <c r="B43">
        <v>4</v>
      </c>
      <c r="C43" t="s">
        <v>70</v>
      </c>
      <c r="D43" t="s">
        <v>185</v>
      </c>
      <c r="E43">
        <v>299</v>
      </c>
      <c r="F43">
        <v>17</v>
      </c>
      <c r="G43">
        <v>1.4</v>
      </c>
      <c r="H43">
        <f t="shared" si="4"/>
        <v>213.57142857142858</v>
      </c>
      <c r="I43">
        <f t="shared" si="5"/>
        <v>12.142857142857144</v>
      </c>
      <c r="J43">
        <v>1</v>
      </c>
      <c r="K43" t="s">
        <v>160</v>
      </c>
      <c r="L43" s="1">
        <f t="shared" si="6"/>
        <v>251.96428571428572</v>
      </c>
      <c r="M43" s="1">
        <f t="shared" si="7"/>
        <v>19.910714285714288</v>
      </c>
    </row>
    <row r="44" spans="1:15" x14ac:dyDescent="0.3">
      <c r="A44">
        <v>42</v>
      </c>
      <c r="B44">
        <v>4</v>
      </c>
      <c r="C44" t="s">
        <v>22</v>
      </c>
      <c r="D44" t="s">
        <v>183</v>
      </c>
      <c r="E44">
        <v>488.4</v>
      </c>
      <c r="F44">
        <v>93</v>
      </c>
      <c r="G44">
        <v>1.8</v>
      </c>
      <c r="H44">
        <f t="shared" si="4"/>
        <v>271.33333333333331</v>
      </c>
      <c r="I44">
        <f t="shared" si="5"/>
        <v>51.666666666666664</v>
      </c>
      <c r="K44" t="s">
        <v>184</v>
      </c>
      <c r="L44" s="1">
        <f t="shared" si="6"/>
        <v>271.33333333333331</v>
      </c>
      <c r="M44" s="1">
        <f t="shared" si="7"/>
        <v>51.666666666666664</v>
      </c>
    </row>
    <row r="45" spans="1:15" x14ac:dyDescent="0.3">
      <c r="A45">
        <v>43</v>
      </c>
      <c r="B45">
        <v>4</v>
      </c>
      <c r="C45" t="s">
        <v>11</v>
      </c>
      <c r="D45" t="s">
        <v>186</v>
      </c>
      <c r="E45">
        <v>419</v>
      </c>
      <c r="F45">
        <f>10+10+16.9+18.5+3.62</f>
        <v>59.019999999999996</v>
      </c>
      <c r="G45" s="2">
        <v>1.4</v>
      </c>
      <c r="H45">
        <f t="shared" si="4"/>
        <v>299.28571428571428</v>
      </c>
      <c r="I45">
        <f t="shared" si="5"/>
        <v>42.157142857142858</v>
      </c>
      <c r="K45" t="s">
        <v>139</v>
      </c>
      <c r="L45" s="1">
        <f t="shared" si="6"/>
        <v>299.28571428571428</v>
      </c>
      <c r="M45" s="1">
        <f t="shared" si="7"/>
        <v>42.157142857142858</v>
      </c>
    </row>
    <row r="46" spans="1:15" x14ac:dyDescent="0.3">
      <c r="A46">
        <v>44</v>
      </c>
      <c r="B46">
        <v>4</v>
      </c>
      <c r="C46" t="s">
        <v>22</v>
      </c>
      <c r="D46" t="s">
        <v>187</v>
      </c>
      <c r="E46">
        <v>374</v>
      </c>
      <c r="F46">
        <v>69</v>
      </c>
      <c r="G46">
        <v>1.4</v>
      </c>
      <c r="H46">
        <f t="shared" si="4"/>
        <v>267.14285714285717</v>
      </c>
      <c r="I46">
        <f t="shared" si="5"/>
        <v>49.285714285714292</v>
      </c>
      <c r="J46">
        <v>1</v>
      </c>
      <c r="K46" t="s">
        <v>164</v>
      </c>
      <c r="L46" s="1">
        <f t="shared" si="6"/>
        <v>305.53571428571433</v>
      </c>
      <c r="M46" s="1">
        <f t="shared" si="7"/>
        <v>57.053571428571438</v>
      </c>
    </row>
    <row r="47" spans="1:15" x14ac:dyDescent="0.3">
      <c r="A47">
        <v>45</v>
      </c>
      <c r="B47">
        <v>4</v>
      </c>
      <c r="C47" t="s">
        <v>177</v>
      </c>
      <c r="D47" t="s">
        <v>188</v>
      </c>
      <c r="E47">
        <v>449</v>
      </c>
      <c r="F47">
        <f>18.6+3.91+3.62+10.49</f>
        <v>36.620000000000005</v>
      </c>
      <c r="G47">
        <v>1.6</v>
      </c>
      <c r="H47">
        <f t="shared" si="4"/>
        <v>280.625</v>
      </c>
      <c r="I47">
        <f t="shared" si="5"/>
        <v>22.887500000000003</v>
      </c>
      <c r="J47">
        <v>1</v>
      </c>
      <c r="K47" t="s">
        <v>160</v>
      </c>
      <c r="L47" s="1">
        <f t="shared" si="6"/>
        <v>319.01785714285717</v>
      </c>
      <c r="M47" s="1">
        <f t="shared" si="7"/>
        <v>30.655357142857149</v>
      </c>
    </row>
    <row r="48" spans="1:15" x14ac:dyDescent="0.3">
      <c r="A48">
        <v>46</v>
      </c>
      <c r="B48">
        <v>4</v>
      </c>
      <c r="C48" t="s">
        <v>177</v>
      </c>
      <c r="D48" t="s">
        <v>178</v>
      </c>
      <c r="E48">
        <v>470</v>
      </c>
      <c r="F48">
        <f>25.7+1.04+3.05+0.58+27+43.3</f>
        <v>100.66999999999999</v>
      </c>
      <c r="G48">
        <v>1.4</v>
      </c>
      <c r="H48">
        <f t="shared" si="4"/>
        <v>335.71428571428572</v>
      </c>
      <c r="I48">
        <f t="shared" si="5"/>
        <v>71.907142857142858</v>
      </c>
      <c r="K48" t="s">
        <v>179</v>
      </c>
      <c r="L48" s="1">
        <f t="shared" si="6"/>
        <v>335.71428571428572</v>
      </c>
      <c r="M48" s="1">
        <f t="shared" si="7"/>
        <v>71.907142857142858</v>
      </c>
    </row>
    <row r="49" spans="1:15" x14ac:dyDescent="0.3">
      <c r="A49">
        <v>47</v>
      </c>
      <c r="B49">
        <v>4</v>
      </c>
      <c r="C49" t="s">
        <v>22</v>
      </c>
      <c r="D49" t="s">
        <v>189</v>
      </c>
      <c r="E49">
        <v>566</v>
      </c>
      <c r="F49">
        <v>54.4</v>
      </c>
      <c r="G49">
        <v>1.6</v>
      </c>
      <c r="H49">
        <f t="shared" si="4"/>
        <v>353.75</v>
      </c>
      <c r="I49">
        <f t="shared" si="5"/>
        <v>34</v>
      </c>
      <c r="L49" s="1">
        <f t="shared" si="6"/>
        <v>353.75</v>
      </c>
      <c r="M49" s="1">
        <f t="shared" si="7"/>
        <v>34</v>
      </c>
    </row>
    <row r="50" spans="1:15" x14ac:dyDescent="0.3">
      <c r="A50">
        <v>48</v>
      </c>
      <c r="B50">
        <v>4</v>
      </c>
      <c r="C50" t="s">
        <v>177</v>
      </c>
      <c r="D50" t="s">
        <v>182</v>
      </c>
      <c r="E50">
        <v>600</v>
      </c>
      <c r="F50">
        <f>14.07+28.7+0.87+6.4+30.5*2+3.5</f>
        <v>114.53999999999999</v>
      </c>
      <c r="G50">
        <v>1.6</v>
      </c>
      <c r="H50">
        <f t="shared" si="4"/>
        <v>375</v>
      </c>
      <c r="I50">
        <f t="shared" si="5"/>
        <v>71.587499999999991</v>
      </c>
      <c r="K50" t="s">
        <v>179</v>
      </c>
      <c r="L50" s="1">
        <f t="shared" si="6"/>
        <v>375</v>
      </c>
      <c r="M50" s="1">
        <f t="shared" si="7"/>
        <v>71.587499999999991</v>
      </c>
    </row>
    <row r="51" spans="1:15" x14ac:dyDescent="0.3">
      <c r="A51">
        <v>49</v>
      </c>
      <c r="B51">
        <v>5</v>
      </c>
      <c r="C51" t="s">
        <v>22</v>
      </c>
      <c r="D51" t="s">
        <v>192</v>
      </c>
      <c r="E51">
        <v>771</v>
      </c>
      <c r="F51">
        <v>68</v>
      </c>
      <c r="G51">
        <v>1.6</v>
      </c>
      <c r="H51">
        <f t="shared" si="4"/>
        <v>481.875</v>
      </c>
      <c r="I51">
        <f t="shared" si="5"/>
        <v>42.5</v>
      </c>
      <c r="J51">
        <v>1</v>
      </c>
      <c r="K51" t="s">
        <v>193</v>
      </c>
      <c r="L51" s="1">
        <f t="shared" si="6"/>
        <v>520.26785714285711</v>
      </c>
      <c r="M51" s="1">
        <f t="shared" si="7"/>
        <v>50.267857142857146</v>
      </c>
      <c r="N51">
        <f>AVERAGE(L51:L62)</f>
        <v>679.05241402116405</v>
      </c>
      <c r="O51">
        <f>AVERAGE(M51:M62)</f>
        <v>81.784069113756615</v>
      </c>
    </row>
    <row r="52" spans="1:15" x14ac:dyDescent="0.3">
      <c r="A52">
        <v>50</v>
      </c>
      <c r="B52">
        <v>5</v>
      </c>
      <c r="C52" t="s">
        <v>177</v>
      </c>
      <c r="D52" t="s">
        <v>190</v>
      </c>
      <c r="E52">
        <v>749</v>
      </c>
      <c r="F52">
        <f>25.7+7.05+0.58*2+7.13+28.1+43.3+6</f>
        <v>118.44</v>
      </c>
      <c r="G52">
        <v>1.4</v>
      </c>
      <c r="H52">
        <f t="shared" si="4"/>
        <v>535</v>
      </c>
      <c r="I52">
        <f t="shared" si="5"/>
        <v>84.600000000000009</v>
      </c>
      <c r="K52" t="s">
        <v>179</v>
      </c>
      <c r="L52" s="1">
        <f t="shared" si="6"/>
        <v>535</v>
      </c>
      <c r="M52" s="1">
        <f t="shared" si="7"/>
        <v>84.600000000000009</v>
      </c>
    </row>
    <row r="53" spans="1:15" x14ac:dyDescent="0.3">
      <c r="A53">
        <v>51</v>
      </c>
      <c r="B53">
        <v>5</v>
      </c>
      <c r="C53" t="s">
        <v>22</v>
      </c>
      <c r="D53" t="s">
        <v>196</v>
      </c>
      <c r="E53">
        <v>1036</v>
      </c>
      <c r="F53">
        <v>99</v>
      </c>
      <c r="G53">
        <v>1.8</v>
      </c>
      <c r="H53">
        <f t="shared" si="4"/>
        <v>575.55555555555554</v>
      </c>
      <c r="I53">
        <f t="shared" si="5"/>
        <v>55</v>
      </c>
      <c r="L53" s="1">
        <f t="shared" si="6"/>
        <v>575.55555555555554</v>
      </c>
      <c r="M53" s="1">
        <f t="shared" si="7"/>
        <v>55</v>
      </c>
    </row>
    <row r="54" spans="1:15" x14ac:dyDescent="0.3">
      <c r="A54">
        <v>52</v>
      </c>
      <c r="B54">
        <v>5</v>
      </c>
      <c r="C54" t="s">
        <v>22</v>
      </c>
      <c r="D54" t="s">
        <v>197</v>
      </c>
      <c r="E54">
        <v>1059</v>
      </c>
      <c r="F54">
        <v>86</v>
      </c>
      <c r="G54">
        <v>1.8</v>
      </c>
      <c r="H54">
        <f t="shared" si="4"/>
        <v>588.33333333333337</v>
      </c>
      <c r="I54">
        <f t="shared" si="5"/>
        <v>47.777777777777779</v>
      </c>
      <c r="L54" s="1">
        <f t="shared" si="6"/>
        <v>588.33333333333337</v>
      </c>
      <c r="M54" s="1">
        <f t="shared" si="7"/>
        <v>47.777777777777779</v>
      </c>
    </row>
    <row r="55" spans="1:15" x14ac:dyDescent="0.3">
      <c r="A55">
        <v>53</v>
      </c>
      <c r="B55">
        <v>5</v>
      </c>
      <c r="C55" t="s">
        <v>22</v>
      </c>
      <c r="D55" t="s">
        <v>191</v>
      </c>
      <c r="E55">
        <v>1113.2</v>
      </c>
      <c r="F55">
        <v>165</v>
      </c>
      <c r="G55">
        <v>1.8</v>
      </c>
      <c r="H55">
        <f t="shared" si="4"/>
        <v>618.44444444444446</v>
      </c>
      <c r="I55">
        <f t="shared" si="5"/>
        <v>91.666666666666671</v>
      </c>
      <c r="L55" s="1">
        <f t="shared" si="6"/>
        <v>618.44444444444446</v>
      </c>
      <c r="M55" s="1">
        <f t="shared" si="7"/>
        <v>91.666666666666671</v>
      </c>
    </row>
    <row r="56" spans="1:15" x14ac:dyDescent="0.3">
      <c r="A56">
        <v>54</v>
      </c>
      <c r="B56">
        <v>5</v>
      </c>
      <c r="C56" t="s">
        <v>22</v>
      </c>
      <c r="D56" t="s">
        <v>198</v>
      </c>
      <c r="E56">
        <v>1010</v>
      </c>
      <c r="F56">
        <v>79</v>
      </c>
      <c r="G56">
        <v>1.6</v>
      </c>
      <c r="H56">
        <f t="shared" si="4"/>
        <v>631.25</v>
      </c>
      <c r="I56">
        <f t="shared" si="5"/>
        <v>49.375</v>
      </c>
      <c r="L56" s="1">
        <f t="shared" si="6"/>
        <v>631.25</v>
      </c>
      <c r="M56" s="1">
        <f t="shared" si="7"/>
        <v>49.375</v>
      </c>
    </row>
    <row r="57" spans="1:15" x14ac:dyDescent="0.3">
      <c r="A57">
        <v>55</v>
      </c>
      <c r="B57">
        <v>5</v>
      </c>
      <c r="C57" t="s">
        <v>177</v>
      </c>
      <c r="D57" t="s">
        <v>194</v>
      </c>
      <c r="E57">
        <v>1049</v>
      </c>
      <c r="F57">
        <f>41+30.5*2+18.2+15+0.58+9.63+15.7+6.7</f>
        <v>167.80999999999997</v>
      </c>
      <c r="G57">
        <v>1.6</v>
      </c>
      <c r="H57">
        <f t="shared" si="4"/>
        <v>655.625</v>
      </c>
      <c r="I57">
        <f t="shared" si="5"/>
        <v>104.88124999999998</v>
      </c>
      <c r="K57" t="s">
        <v>179</v>
      </c>
      <c r="L57" s="1">
        <f t="shared" si="6"/>
        <v>655.625</v>
      </c>
      <c r="M57" s="1">
        <f t="shared" si="7"/>
        <v>104.88124999999998</v>
      </c>
    </row>
    <row r="58" spans="1:15" x14ac:dyDescent="0.3">
      <c r="A58">
        <v>56</v>
      </c>
      <c r="B58">
        <v>5</v>
      </c>
      <c r="C58" t="s">
        <v>11</v>
      </c>
      <c r="D58" t="s">
        <v>195</v>
      </c>
      <c r="E58">
        <v>1058</v>
      </c>
      <c r="F58">
        <f>21.5*2+30.5+30.4+18+16.8+0.58*2+15.8+6.7*2</f>
        <v>169.06000000000003</v>
      </c>
      <c r="G58">
        <v>1.6</v>
      </c>
      <c r="H58">
        <f t="shared" si="4"/>
        <v>661.25</v>
      </c>
      <c r="I58">
        <f t="shared" si="5"/>
        <v>105.66250000000001</v>
      </c>
      <c r="K58" t="s">
        <v>179</v>
      </c>
      <c r="L58" s="1">
        <f t="shared" si="6"/>
        <v>661.25</v>
      </c>
      <c r="M58" s="1">
        <f t="shared" si="7"/>
        <v>105.66250000000001</v>
      </c>
    </row>
    <row r="59" spans="1:15" x14ac:dyDescent="0.3">
      <c r="A59">
        <v>57</v>
      </c>
      <c r="B59">
        <v>5</v>
      </c>
      <c r="C59" t="s">
        <v>22</v>
      </c>
      <c r="D59" t="s">
        <v>199</v>
      </c>
      <c r="E59">
        <v>1370.6</v>
      </c>
      <c r="F59">
        <v>169</v>
      </c>
      <c r="G59">
        <v>1.8</v>
      </c>
      <c r="H59">
        <f t="shared" si="4"/>
        <v>761.44444444444434</v>
      </c>
      <c r="I59">
        <f t="shared" si="5"/>
        <v>93.888888888888886</v>
      </c>
      <c r="K59" t="s">
        <v>179</v>
      </c>
      <c r="L59" s="1">
        <f t="shared" si="6"/>
        <v>761.44444444444434</v>
      </c>
      <c r="M59" s="1">
        <f t="shared" si="7"/>
        <v>93.888888888888886</v>
      </c>
    </row>
    <row r="60" spans="1:15" x14ac:dyDescent="0.3">
      <c r="A60">
        <v>58</v>
      </c>
      <c r="B60">
        <v>5</v>
      </c>
      <c r="C60" t="s">
        <v>177</v>
      </c>
      <c r="D60" t="s">
        <v>200</v>
      </c>
      <c r="E60">
        <v>1498</v>
      </c>
      <c r="F60">
        <f>30.2+17.7+7.7*2+0.71*2+22.6+26+24*2</f>
        <v>161.32</v>
      </c>
      <c r="G60">
        <v>1.8</v>
      </c>
      <c r="H60">
        <f t="shared" si="4"/>
        <v>832.22222222222217</v>
      </c>
      <c r="I60">
        <f t="shared" si="5"/>
        <v>89.62222222222222</v>
      </c>
      <c r="K60" t="s">
        <v>179</v>
      </c>
      <c r="L60" s="1">
        <f t="shared" si="6"/>
        <v>832.22222222222217</v>
      </c>
      <c r="M60" s="1">
        <f t="shared" si="7"/>
        <v>89.62222222222222</v>
      </c>
    </row>
    <row r="61" spans="1:15" x14ac:dyDescent="0.3">
      <c r="A61">
        <v>59</v>
      </c>
      <c r="B61">
        <v>5</v>
      </c>
      <c r="C61" t="s">
        <v>177</v>
      </c>
      <c r="D61" t="s">
        <v>201</v>
      </c>
      <c r="E61">
        <v>1349</v>
      </c>
      <c r="F61">
        <f>41+30.5*2+15.7+6.7*2+0.71*2+22.6+20</f>
        <v>175.11999999999998</v>
      </c>
      <c r="G61">
        <v>1.6</v>
      </c>
      <c r="H61">
        <f t="shared" si="4"/>
        <v>843.125</v>
      </c>
      <c r="I61">
        <f t="shared" si="5"/>
        <v>109.44999999999997</v>
      </c>
      <c r="K61" t="s">
        <v>179</v>
      </c>
      <c r="L61" s="1">
        <f t="shared" si="6"/>
        <v>843.125</v>
      </c>
      <c r="M61" s="1">
        <f t="shared" si="7"/>
        <v>109.44999999999997</v>
      </c>
    </row>
    <row r="62" spans="1:15" x14ac:dyDescent="0.3">
      <c r="A62">
        <v>60</v>
      </c>
      <c r="B62">
        <v>5</v>
      </c>
      <c r="C62" t="s">
        <v>11</v>
      </c>
      <c r="D62" t="s">
        <v>202</v>
      </c>
      <c r="E62">
        <v>1667</v>
      </c>
      <c r="F62">
        <f>30.2*2+1.04+19.2+7.7+4.25+43*2</f>
        <v>178.59</v>
      </c>
      <c r="G62">
        <v>1.8</v>
      </c>
      <c r="H62">
        <f t="shared" si="4"/>
        <v>926.11111111111109</v>
      </c>
      <c r="I62">
        <f t="shared" si="5"/>
        <v>99.216666666666669</v>
      </c>
      <c r="K62" t="s">
        <v>179</v>
      </c>
      <c r="L62" s="1">
        <f t="shared" si="6"/>
        <v>926.11111111111109</v>
      </c>
      <c r="M62" s="1">
        <f t="shared" si="7"/>
        <v>99.216666666666669</v>
      </c>
    </row>
  </sheetData>
  <sortState xmlns:xlrd2="http://schemas.microsoft.com/office/spreadsheetml/2017/richdata2" ref="B3:M62">
    <sortCondition ref="L3:L62"/>
  </sortState>
  <mergeCells count="1">
    <mergeCell ref="L1:M1"/>
  </mergeCells>
  <phoneticPr fontId="1"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Weight factor calculation guide</vt:lpstr>
      <vt:lpstr>Summary</vt:lpstr>
      <vt:lpstr>Dining table</vt:lpstr>
      <vt:lpstr>Chair</vt:lpstr>
      <vt:lpstr>(Double) bed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 van Beijnum</dc:creator>
  <cp:lastModifiedBy>Boris van Beijnum</cp:lastModifiedBy>
  <dcterms:created xsi:type="dcterms:W3CDTF">2021-04-16T13:03:09Z</dcterms:created>
  <dcterms:modified xsi:type="dcterms:W3CDTF">2021-07-01T14:52:51Z</dcterms:modified>
</cp:coreProperties>
</file>