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winMesh\TUB final design DEMO\"/>
    </mc:Choice>
  </mc:AlternateContent>
  <xr:revisionPtr revIDLastSave="0" documentId="13_ncr:1_{E648A25D-6868-484D-B3C3-EE3201E20016}" xr6:coauthVersionLast="47" xr6:coauthVersionMax="47" xr10:uidLastSave="{00000000-0000-0000-0000-000000000000}"/>
  <bookViews>
    <workbookView xWindow="-120" yWindow="-120" windowWidth="25440" windowHeight="15390" activeTab="2" xr2:uid="{61E0E4D4-534D-43F0-856E-ABA9A9F1075C}"/>
  </bookViews>
  <sheets>
    <sheet name="w vs eta - First estimation" sheetId="2" r:id="rId1"/>
    <sheet name="Torque - 2.5D 1mm height" sheetId="3" r:id="rId2"/>
    <sheet name="TUB DoE - Reversibl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96" i="4" l="1"/>
  <c r="AF96" i="4"/>
  <c r="AG96" i="4"/>
  <c r="AF97" i="4"/>
  <c r="AG97" i="4"/>
  <c r="AE97" i="4"/>
  <c r="AE95" i="4"/>
  <c r="AF95" i="4"/>
  <c r="AG95" i="4"/>
  <c r="AE98" i="4"/>
  <c r="AF98" i="4"/>
  <c r="AG98" i="4"/>
  <c r="AE99" i="4"/>
  <c r="AF99" i="4"/>
  <c r="AG99" i="4"/>
  <c r="AE100" i="4"/>
  <c r="AF100" i="4"/>
  <c r="AG100" i="4"/>
  <c r="AF94" i="4"/>
  <c r="AG94" i="4"/>
  <c r="AE94" i="4"/>
  <c r="AG85" i="4"/>
  <c r="AG86" i="4"/>
  <c r="AG87" i="4"/>
  <c r="AE87" i="4"/>
  <c r="AF87" i="4"/>
  <c r="AF86" i="4"/>
  <c r="AE86" i="4"/>
  <c r="G10" i="4"/>
  <c r="G9" i="4"/>
  <c r="G8" i="4"/>
  <c r="U74" i="4" l="1"/>
  <c r="Z79" i="4"/>
  <c r="AL79" i="4" s="1"/>
  <c r="Z78" i="4"/>
  <c r="AL78" i="4" s="1"/>
  <c r="Z77" i="4"/>
  <c r="AL77" i="4" s="1"/>
  <c r="Z76" i="4"/>
  <c r="AL76" i="4" s="1"/>
  <c r="Z75" i="4"/>
  <c r="AL75" i="4" s="1"/>
  <c r="Z74" i="4"/>
  <c r="AL74" i="4" s="1"/>
  <c r="AG74" i="4"/>
  <c r="AY62" i="4"/>
  <c r="AZ62" i="4"/>
  <c r="BA62" i="4"/>
  <c r="U31" i="4"/>
  <c r="AG31" i="4" s="1"/>
  <c r="U30" i="4"/>
  <c r="U29" i="4"/>
  <c r="AG29" i="4" s="1"/>
  <c r="U28" i="4"/>
  <c r="AG28" i="4" s="1"/>
  <c r="U27" i="4"/>
  <c r="AG27" i="4" s="1"/>
  <c r="U26" i="4"/>
  <c r="X28" i="4"/>
  <c r="AJ28" i="4" s="1"/>
  <c r="X27" i="4"/>
  <c r="AJ27" i="4" s="1"/>
  <c r="X26" i="4"/>
  <c r="AJ26" i="4" s="1"/>
  <c r="Y75" i="4"/>
  <c r="AK75" i="4" s="1"/>
  <c r="Y76" i="4"/>
  <c r="AK76" i="4" s="1"/>
  <c r="Y77" i="4"/>
  <c r="AK77" i="4" s="1"/>
  <c r="Y78" i="4"/>
  <c r="AK78" i="4" s="1"/>
  <c r="Y79" i="4"/>
  <c r="AK79" i="4" s="1"/>
  <c r="Y74" i="4"/>
  <c r="AK74" i="4" s="1"/>
  <c r="X75" i="4"/>
  <c r="AJ75" i="4" s="1"/>
  <c r="X76" i="4"/>
  <c r="AJ76" i="4" s="1"/>
  <c r="X77" i="4"/>
  <c r="X78" i="4"/>
  <c r="X79" i="4"/>
  <c r="X74" i="4"/>
  <c r="AJ74" i="4" s="1"/>
  <c r="W75" i="4"/>
  <c r="AI75" i="4" s="1"/>
  <c r="W76" i="4"/>
  <c r="AI76" i="4" s="1"/>
  <c r="W77" i="4"/>
  <c r="AI77" i="4" s="1"/>
  <c r="W78" i="4"/>
  <c r="AI78" i="4" s="1"/>
  <c r="W79" i="4"/>
  <c r="AI79" i="4" s="1"/>
  <c r="W74" i="4"/>
  <c r="AI74" i="4" s="1"/>
  <c r="V75" i="4"/>
  <c r="AH75" i="4" s="1"/>
  <c r="V76" i="4"/>
  <c r="AH76" i="4" s="1"/>
  <c r="V77" i="4"/>
  <c r="AH77" i="4" s="1"/>
  <c r="V78" i="4"/>
  <c r="AH78" i="4" s="1"/>
  <c r="V79" i="4"/>
  <c r="AH79" i="4" s="1"/>
  <c r="V74" i="4"/>
  <c r="AH74" i="4" s="1"/>
  <c r="U75" i="4"/>
  <c r="AG75" i="4" s="1"/>
  <c r="U76" i="4"/>
  <c r="AG76" i="4" s="1"/>
  <c r="U77" i="4"/>
  <c r="AG77" i="4" s="1"/>
  <c r="U78" i="4"/>
  <c r="AG78" i="4" s="1"/>
  <c r="U79" i="4"/>
  <c r="AG79" i="4" s="1"/>
  <c r="T75" i="4"/>
  <c r="AF75" i="4" s="1"/>
  <c r="T76" i="4"/>
  <c r="AF76" i="4" s="1"/>
  <c r="T77" i="4"/>
  <c r="AF77" i="4" s="1"/>
  <c r="T78" i="4"/>
  <c r="AF78" i="4" s="1"/>
  <c r="T79" i="4"/>
  <c r="AF79" i="4" s="1"/>
  <c r="T74" i="4"/>
  <c r="AF74" i="4" s="1"/>
  <c r="S75" i="4"/>
  <c r="AE75" i="4" s="1"/>
  <c r="S76" i="4"/>
  <c r="AE76" i="4" s="1"/>
  <c r="S77" i="4"/>
  <c r="AE77" i="4" s="1"/>
  <c r="S78" i="4"/>
  <c r="AE78" i="4" s="1"/>
  <c r="S79" i="4"/>
  <c r="AE79" i="4" s="1"/>
  <c r="S74" i="4"/>
  <c r="AE74" i="4" s="1"/>
  <c r="AJ50" i="4"/>
  <c r="AJ51" i="4"/>
  <c r="AJ52" i="4"/>
  <c r="AG50" i="4"/>
  <c r="AG51" i="4"/>
  <c r="AG52" i="4"/>
  <c r="AG53" i="4"/>
  <c r="AG54" i="4"/>
  <c r="AG55" i="4"/>
  <c r="AJ42" i="4"/>
  <c r="AJ43" i="4"/>
  <c r="AJ44" i="4"/>
  <c r="AG42" i="4"/>
  <c r="AG43" i="4"/>
  <c r="AG44" i="4"/>
  <c r="AG45" i="4"/>
  <c r="AG46" i="4"/>
  <c r="AG47" i="4"/>
  <c r="AJ34" i="4"/>
  <c r="AJ35" i="4"/>
  <c r="AJ36" i="4"/>
  <c r="AG34" i="4"/>
  <c r="AG35" i="4"/>
  <c r="AG36" i="4"/>
  <c r="AG37" i="4"/>
  <c r="AG38" i="4"/>
  <c r="AG39" i="4"/>
  <c r="AJ19" i="4"/>
  <c r="AJ20" i="4"/>
  <c r="AJ21" i="4"/>
  <c r="AJ22" i="4"/>
  <c r="AJ23" i="4"/>
  <c r="AJ24" i="4"/>
  <c r="AG19" i="4"/>
  <c r="AG20" i="4"/>
  <c r="AG21" i="4"/>
  <c r="AG22" i="4"/>
  <c r="AG23" i="4"/>
  <c r="AG24" i="4"/>
  <c r="AJ5" i="4"/>
  <c r="AJ6" i="4"/>
  <c r="AJ7" i="4"/>
  <c r="AG5" i="4"/>
  <c r="AG6" i="4"/>
  <c r="AG7" i="4"/>
  <c r="AG8" i="4"/>
  <c r="AG9" i="4"/>
  <c r="AG10" i="4"/>
  <c r="AG30" i="4"/>
  <c r="D10" i="4"/>
  <c r="D17" i="4" s="1"/>
  <c r="D9" i="4"/>
  <c r="D16" i="4" s="1"/>
  <c r="D8" i="4"/>
  <c r="D15" i="4" s="1"/>
  <c r="D7" i="4"/>
  <c r="D14" i="4" s="1"/>
  <c r="D6" i="4"/>
  <c r="D13" i="4" s="1"/>
  <c r="D5" i="4"/>
  <c r="D12" i="4" s="1"/>
  <c r="AP138" i="4"/>
  <c r="G6" i="4"/>
  <c r="G13" i="4" s="1"/>
  <c r="G7" i="4"/>
  <c r="G14" i="4" s="1"/>
  <c r="G5" i="4"/>
  <c r="G12" i="4" s="1"/>
  <c r="AY61" i="4"/>
  <c r="AZ61" i="4"/>
  <c r="BA61" i="4"/>
  <c r="AY63" i="4"/>
  <c r="AZ63" i="4"/>
  <c r="BA63" i="4"/>
  <c r="AY64" i="4"/>
  <c r="AZ64" i="4"/>
  <c r="BA64" i="4"/>
  <c r="AY65" i="4"/>
  <c r="AZ65" i="4"/>
  <c r="BA65" i="4"/>
  <c r="AY66" i="4"/>
  <c r="AZ66" i="4"/>
  <c r="BA66" i="4"/>
  <c r="AZ60" i="4"/>
  <c r="BA60" i="4"/>
  <c r="AY60" i="4"/>
  <c r="AH51" i="4"/>
  <c r="AH52" i="4"/>
  <c r="AH53" i="4"/>
  <c r="AH54" i="4"/>
  <c r="AH55" i="4"/>
  <c r="AH50" i="4"/>
  <c r="AH43" i="4"/>
  <c r="AH44" i="4"/>
  <c r="AH45" i="4"/>
  <c r="AH46" i="4"/>
  <c r="AH47" i="4"/>
  <c r="AH42" i="4"/>
  <c r="AH35" i="4"/>
  <c r="AH36" i="4"/>
  <c r="AH37" i="4"/>
  <c r="AH38" i="4"/>
  <c r="AH39" i="4"/>
  <c r="AH34" i="4"/>
  <c r="AH20" i="4"/>
  <c r="AH21" i="4"/>
  <c r="AH22" i="4"/>
  <c r="AH23" i="4"/>
  <c r="AH24" i="4"/>
  <c r="AH19" i="4"/>
  <c r="AH6" i="4"/>
  <c r="AH7" i="4"/>
  <c r="AH8" i="4"/>
  <c r="AH9" i="4"/>
  <c r="AH10" i="4"/>
  <c r="AH5" i="4"/>
  <c r="V27" i="4"/>
  <c r="AH27" i="4" s="1"/>
  <c r="V28" i="4"/>
  <c r="AH28" i="4" s="1"/>
  <c r="V29" i="4"/>
  <c r="AH29" i="4" s="1"/>
  <c r="V30" i="4"/>
  <c r="AH30" i="4" s="1"/>
  <c r="V31" i="4"/>
  <c r="AH31" i="4" s="1"/>
  <c r="V26" i="4"/>
  <c r="AH26" i="4" s="1"/>
  <c r="E10" i="4"/>
  <c r="E17" i="4" s="1"/>
  <c r="E9" i="4"/>
  <c r="E16" i="4" s="1"/>
  <c r="E8" i="4"/>
  <c r="E15" i="4" s="1"/>
  <c r="E7" i="4"/>
  <c r="E14" i="4" s="1"/>
  <c r="E6" i="4"/>
  <c r="E13" i="4" s="1"/>
  <c r="E5" i="4"/>
  <c r="E12" i="4" s="1"/>
  <c r="AQ134" i="4"/>
  <c r="AQ129" i="4"/>
  <c r="AI45" i="4"/>
  <c r="AI46" i="4"/>
  <c r="AI47" i="4"/>
  <c r="AI37" i="4"/>
  <c r="AI38" i="4"/>
  <c r="AI39" i="4"/>
  <c r="AE45" i="4"/>
  <c r="AE46" i="4"/>
  <c r="AE47" i="4"/>
  <c r="AF45" i="4"/>
  <c r="AF46" i="4"/>
  <c r="AF47" i="4"/>
  <c r="AF51" i="4"/>
  <c r="AF52" i="4"/>
  <c r="AF53" i="4"/>
  <c r="AF54" i="4"/>
  <c r="AF55" i="4"/>
  <c r="AM55" i="4"/>
  <c r="AL55" i="4"/>
  <c r="AK55" i="4"/>
  <c r="AI55" i="4"/>
  <c r="AE55" i="4"/>
  <c r="AM54" i="4"/>
  <c r="AL54" i="4"/>
  <c r="AK54" i="4"/>
  <c r="AI54" i="4"/>
  <c r="AE54" i="4"/>
  <c r="AM53" i="4"/>
  <c r="AL53" i="4"/>
  <c r="AK53" i="4"/>
  <c r="AI53" i="4"/>
  <c r="AE53" i="4"/>
  <c r="AM52" i="4"/>
  <c r="AL52" i="4"/>
  <c r="AK52" i="4"/>
  <c r="AI52" i="4"/>
  <c r="AE52" i="4"/>
  <c r="AM51" i="4"/>
  <c r="AL51" i="4"/>
  <c r="AK51" i="4"/>
  <c r="AI51" i="4"/>
  <c r="AE51" i="4"/>
  <c r="AM50" i="4"/>
  <c r="AL50" i="4"/>
  <c r="AK50" i="4"/>
  <c r="AI50" i="4"/>
  <c r="AF50" i="4"/>
  <c r="AE50" i="4"/>
  <c r="AM47" i="4"/>
  <c r="AL47" i="4"/>
  <c r="AK47" i="4"/>
  <c r="AM46" i="4"/>
  <c r="AL46" i="4"/>
  <c r="AK46" i="4"/>
  <c r="AM45" i="4"/>
  <c r="AL45" i="4"/>
  <c r="AK45" i="4"/>
  <c r="AM44" i="4"/>
  <c r="AL44" i="4"/>
  <c r="AK44" i="4"/>
  <c r="AI44" i="4"/>
  <c r="AF44" i="4"/>
  <c r="AE44" i="4"/>
  <c r="AM43" i="4"/>
  <c r="AL43" i="4"/>
  <c r="AK43" i="4"/>
  <c r="AI43" i="4"/>
  <c r="AF43" i="4"/>
  <c r="AE43" i="4"/>
  <c r="AM42" i="4"/>
  <c r="AL42" i="4"/>
  <c r="AK42" i="4"/>
  <c r="AI42" i="4"/>
  <c r="AF42" i="4"/>
  <c r="AE42" i="4"/>
  <c r="AE35" i="4"/>
  <c r="AF35" i="4"/>
  <c r="AI35" i="4"/>
  <c r="AK35" i="4"/>
  <c r="AL35" i="4"/>
  <c r="AM35" i="4"/>
  <c r="AE36" i="4"/>
  <c r="AF36" i="4"/>
  <c r="AI36" i="4"/>
  <c r="AK36" i="4"/>
  <c r="AL36" i="4"/>
  <c r="AM36" i="4"/>
  <c r="AE37" i="4"/>
  <c r="AF37" i="4"/>
  <c r="AK37" i="4"/>
  <c r="AL37" i="4"/>
  <c r="AM37" i="4"/>
  <c r="AE38" i="4"/>
  <c r="AF38" i="4"/>
  <c r="AK38" i="4"/>
  <c r="AL38" i="4"/>
  <c r="AM38" i="4"/>
  <c r="AE39" i="4"/>
  <c r="AF39" i="4"/>
  <c r="AK39" i="4"/>
  <c r="AL39" i="4"/>
  <c r="AM39" i="4"/>
  <c r="AF34" i="4"/>
  <c r="AI34" i="4"/>
  <c r="AK34" i="4"/>
  <c r="AL34" i="4"/>
  <c r="AM34" i="4"/>
  <c r="AE34" i="4"/>
  <c r="AM24" i="4"/>
  <c r="AL24" i="4"/>
  <c r="AK24" i="4"/>
  <c r="AI24" i="4"/>
  <c r="AF24" i="4"/>
  <c r="AE24" i="4"/>
  <c r="AM23" i="4"/>
  <c r="AL23" i="4"/>
  <c r="AK23" i="4"/>
  <c r="AI23" i="4"/>
  <c r="AF23" i="4"/>
  <c r="AE23" i="4"/>
  <c r="AM22" i="4"/>
  <c r="AL22" i="4"/>
  <c r="AK22" i="4"/>
  <c r="AI22" i="4"/>
  <c r="AF22" i="4"/>
  <c r="AE22" i="4"/>
  <c r="AM21" i="4"/>
  <c r="AL21" i="4"/>
  <c r="AK21" i="4"/>
  <c r="AI21" i="4"/>
  <c r="AF21" i="4"/>
  <c r="AE21" i="4"/>
  <c r="AM20" i="4"/>
  <c r="AL20" i="4"/>
  <c r="AK20" i="4"/>
  <c r="AI20" i="4"/>
  <c r="AF20" i="4"/>
  <c r="AE20" i="4"/>
  <c r="AM19" i="4"/>
  <c r="AL19" i="4"/>
  <c r="AK19" i="4"/>
  <c r="AI19" i="4"/>
  <c r="AF19" i="4"/>
  <c r="AE19" i="4"/>
  <c r="AE6" i="4"/>
  <c r="AF6" i="4"/>
  <c r="AI6" i="4"/>
  <c r="AK6" i="4"/>
  <c r="AL6" i="4"/>
  <c r="AM6" i="4"/>
  <c r="AE7" i="4"/>
  <c r="AF7" i="4"/>
  <c r="AI7" i="4"/>
  <c r="AK7" i="4"/>
  <c r="AL7" i="4"/>
  <c r="AM7" i="4"/>
  <c r="AE8" i="4"/>
  <c r="AF8" i="4"/>
  <c r="AI8" i="4"/>
  <c r="AK8" i="4"/>
  <c r="AL8" i="4"/>
  <c r="AM8" i="4"/>
  <c r="AE9" i="4"/>
  <c r="AF9" i="4"/>
  <c r="AI9" i="4"/>
  <c r="AK9" i="4"/>
  <c r="AL9" i="4"/>
  <c r="AM9" i="4"/>
  <c r="AE10" i="4"/>
  <c r="AF10" i="4"/>
  <c r="AI10" i="4"/>
  <c r="AK10" i="4"/>
  <c r="AL10" i="4"/>
  <c r="AM10" i="4"/>
  <c r="AF5" i="4"/>
  <c r="AI5" i="4"/>
  <c r="AK5" i="4"/>
  <c r="AL5" i="4"/>
  <c r="AE5" i="4"/>
  <c r="AM4" i="4"/>
  <c r="AA5" i="4"/>
  <c r="AM5" i="4" s="1"/>
  <c r="AA4" i="4"/>
  <c r="AA29" i="4" s="1"/>
  <c r="AM29" i="4" s="1"/>
  <c r="Z4" i="4"/>
  <c r="Z29" i="4" s="1"/>
  <c r="AL29" i="4" s="1"/>
  <c r="Y29" i="4"/>
  <c r="AK29" i="4" s="1"/>
  <c r="W29" i="4"/>
  <c r="AI29" i="4" s="1"/>
  <c r="T30" i="4"/>
  <c r="AF30" i="4" s="1"/>
  <c r="S26" i="4"/>
  <c r="AE26" i="4" s="1"/>
  <c r="B13" i="4"/>
  <c r="C13" i="4"/>
  <c r="F13" i="4"/>
  <c r="I13" i="4"/>
  <c r="K13" i="4"/>
  <c r="B14" i="4"/>
  <c r="C14" i="4"/>
  <c r="F14" i="4"/>
  <c r="I14" i="4"/>
  <c r="K14" i="4"/>
  <c r="B15" i="4"/>
  <c r="C15" i="4"/>
  <c r="F15" i="4"/>
  <c r="I15" i="4"/>
  <c r="K15" i="4"/>
  <c r="B16" i="4"/>
  <c r="C16" i="4"/>
  <c r="F16" i="4"/>
  <c r="I16" i="4"/>
  <c r="K16" i="4"/>
  <c r="B17" i="4"/>
  <c r="C17" i="4"/>
  <c r="F17" i="4"/>
  <c r="I17" i="4"/>
  <c r="K17" i="4"/>
  <c r="C12" i="4"/>
  <c r="F12" i="4"/>
  <c r="I12" i="4"/>
  <c r="K12" i="4"/>
  <c r="B12" i="4"/>
  <c r="F51" i="4"/>
  <c r="F52" i="4"/>
  <c r="F50" i="4"/>
  <c r="E51" i="4"/>
  <c r="E52" i="4"/>
  <c r="E50" i="4"/>
  <c r="C28" i="4"/>
  <c r="C30" i="4" s="1"/>
  <c r="J10" i="4"/>
  <c r="J17" i="4" s="1"/>
  <c r="J9" i="4"/>
  <c r="J16" i="4" s="1"/>
  <c r="J8" i="4"/>
  <c r="J15" i="4" s="1"/>
  <c r="H10" i="4"/>
  <c r="H17" i="4" s="1"/>
  <c r="H9" i="4"/>
  <c r="H16" i="4" s="1"/>
  <c r="H8" i="4"/>
  <c r="H15" i="4" s="1"/>
  <c r="J7" i="4"/>
  <c r="J14" i="4" s="1"/>
  <c r="J6" i="4"/>
  <c r="J13" i="4" s="1"/>
  <c r="J5" i="4"/>
  <c r="J12" i="4" s="1"/>
  <c r="J4" i="4"/>
  <c r="H7" i="4"/>
  <c r="H14" i="4" s="1"/>
  <c r="H6" i="4"/>
  <c r="H13" i="4" s="1"/>
  <c r="H5" i="4"/>
  <c r="H12" i="4" s="1"/>
  <c r="H4" i="4"/>
  <c r="C4" i="4"/>
  <c r="F4" i="4"/>
  <c r="I4" i="4"/>
  <c r="K4" i="4"/>
  <c r="B4" i="4"/>
  <c r="AA45" i="3"/>
  <c r="AA48" i="3" s="1"/>
  <c r="B19" i="2"/>
  <c r="B20" i="2"/>
  <c r="B21" i="2"/>
  <c r="B22" i="2"/>
  <c r="B23" i="2"/>
  <c r="B24" i="2"/>
  <c r="B25" i="2"/>
  <c r="B18" i="2"/>
  <c r="AG60" i="4" l="1"/>
  <c r="AG68" i="4" s="1"/>
  <c r="AF59" i="4"/>
  <c r="AE62" i="4"/>
  <c r="AG61" i="4"/>
  <c r="AG69" i="4" s="1"/>
  <c r="AG59" i="4"/>
  <c r="AG67" i="4" s="1"/>
  <c r="AG58" i="4"/>
  <c r="AG66" i="4" s="1"/>
  <c r="AJ60" i="4"/>
  <c r="AJ68" i="4" s="1"/>
  <c r="AG63" i="4"/>
  <c r="AG71" i="4" s="1"/>
  <c r="AJ59" i="4"/>
  <c r="AJ67" i="4" s="1"/>
  <c r="AJ58" i="4"/>
  <c r="AJ66" i="4" s="1"/>
  <c r="AG62" i="4"/>
  <c r="AG70" i="4" s="1"/>
  <c r="AF62" i="4"/>
  <c r="AG26" i="4"/>
  <c r="AL58" i="4"/>
  <c r="AL66" i="4" s="1"/>
  <c r="AF70" i="4"/>
  <c r="AF67" i="4"/>
  <c r="AL60" i="4"/>
  <c r="AL68" i="4" s="1"/>
  <c r="AL59" i="4"/>
  <c r="AL67" i="4" s="1"/>
  <c r="AH59" i="4"/>
  <c r="AH67" i="4" s="1"/>
  <c r="AI60" i="4"/>
  <c r="AI68" i="4" s="1"/>
  <c r="AL63" i="4"/>
  <c r="AL71" i="4" s="1"/>
  <c r="AK62" i="4"/>
  <c r="AK70" i="4" s="1"/>
  <c r="AI58" i="4"/>
  <c r="AI66" i="4" s="1"/>
  <c r="AK58" i="4"/>
  <c r="AK66" i="4" s="1"/>
  <c r="AE70" i="4"/>
  <c r="AH58" i="4"/>
  <c r="AH66" i="4" s="1"/>
  <c r="AE58" i="4"/>
  <c r="AE66" i="4" s="1"/>
  <c r="AE61" i="4"/>
  <c r="AE69" i="4" s="1"/>
  <c r="AH62" i="4"/>
  <c r="AH70" i="4" s="1"/>
  <c r="AF60" i="4"/>
  <c r="AF68" i="4" s="1"/>
  <c r="AE59" i="4"/>
  <c r="AE67" i="4" s="1"/>
  <c r="AI62" i="4"/>
  <c r="AI70" i="4" s="1"/>
  <c r="AI61" i="4"/>
  <c r="AI69" i="4" s="1"/>
  <c r="AK60" i="4"/>
  <c r="AK68" i="4" s="1"/>
  <c r="AH63" i="4"/>
  <c r="AH71" i="4" s="1"/>
  <c r="AK61" i="4"/>
  <c r="AK69" i="4" s="1"/>
  <c r="AL61" i="4"/>
  <c r="AL69" i="4" s="1"/>
  <c r="AH61" i="4"/>
  <c r="AH69" i="4" s="1"/>
  <c r="AE60" i="4"/>
  <c r="AE68" i="4" s="1"/>
  <c r="AH60" i="4"/>
  <c r="AH68" i="4" s="1"/>
  <c r="AF61" i="4"/>
  <c r="AF69" i="4" s="1"/>
  <c r="AF58" i="4"/>
  <c r="AF66" i="4" s="1"/>
  <c r="AI63" i="4"/>
  <c r="AI71" i="4" s="1"/>
  <c r="AL62" i="4"/>
  <c r="AL70" i="4" s="1"/>
  <c r="AF63" i="4"/>
  <c r="AF71" i="4" s="1"/>
  <c r="AK63" i="4"/>
  <c r="AK71" i="4" s="1"/>
  <c r="AE63" i="4"/>
  <c r="AE71" i="4" s="1"/>
  <c r="AI59" i="4"/>
  <c r="AI67" i="4" s="1"/>
  <c r="AK59" i="4"/>
  <c r="AK67" i="4" s="1"/>
  <c r="Z31" i="4"/>
  <c r="AL31" i="4" s="1"/>
  <c r="AA28" i="4"/>
  <c r="AM28" i="4" s="1"/>
  <c r="AA27" i="4"/>
  <c r="AM27" i="4" s="1"/>
  <c r="T29" i="4"/>
  <c r="AF29" i="4" s="1"/>
  <c r="W26" i="4"/>
  <c r="AI26" i="4" s="1"/>
  <c r="S29" i="4"/>
  <c r="AE29" i="4" s="1"/>
  <c r="Z28" i="4"/>
  <c r="AL28" i="4" s="1"/>
  <c r="Y28" i="4"/>
  <c r="AK28" i="4" s="1"/>
  <c r="T28" i="4"/>
  <c r="AF28" i="4" s="1"/>
  <c r="Z26" i="4"/>
  <c r="AL26" i="4" s="1"/>
  <c r="S28" i="4"/>
  <c r="AE28" i="4" s="1"/>
  <c r="Z27" i="4"/>
  <c r="AL27" i="4" s="1"/>
  <c r="Y27" i="4"/>
  <c r="AK27" i="4" s="1"/>
  <c r="W31" i="4"/>
  <c r="AI31" i="4" s="1"/>
  <c r="W27" i="4"/>
  <c r="AI27" i="4" s="1"/>
  <c r="T31" i="4"/>
  <c r="AF31" i="4" s="1"/>
  <c r="T27" i="4"/>
  <c r="AF27" i="4" s="1"/>
  <c r="S31" i="4"/>
  <c r="AE31" i="4" s="1"/>
  <c r="S27" i="4"/>
  <c r="AE27" i="4" s="1"/>
  <c r="W28" i="4"/>
  <c r="AI28" i="4" s="1"/>
  <c r="Y30" i="4"/>
  <c r="AK30" i="4" s="1"/>
  <c r="T26" i="4"/>
  <c r="AF26" i="4" s="1"/>
  <c r="Y26" i="4"/>
  <c r="AK26" i="4" s="1"/>
  <c r="Y31" i="4"/>
  <c r="AK31" i="4" s="1"/>
  <c r="W30" i="4"/>
  <c r="AI30" i="4" s="1"/>
  <c r="AA26" i="4"/>
  <c r="AM26" i="4" s="1"/>
  <c r="S30" i="4"/>
  <c r="AE30" i="4" s="1"/>
  <c r="Z30" i="4"/>
  <c r="AL30" i="4" s="1"/>
  <c r="AA31" i="4"/>
  <c r="AM31" i="4" s="1"/>
  <c r="AA30" i="4"/>
  <c r="AM30" i="4" s="1"/>
  <c r="E18" i="2"/>
  <c r="C9" i="2"/>
  <c r="C10" i="2"/>
  <c r="C11" i="2"/>
  <c r="C12" i="2"/>
  <c r="C13" i="2"/>
  <c r="C14" i="2"/>
  <c r="C15" i="2"/>
  <c r="C8" i="2"/>
  <c r="C5" i="2"/>
  <c r="E25" i="2"/>
  <c r="F25" i="2"/>
  <c r="G25" i="2" s="1"/>
  <c r="C25" i="2"/>
  <c r="D25" i="2" s="1"/>
  <c r="F20" i="2"/>
  <c r="F21" i="2"/>
  <c r="F22" i="2"/>
  <c r="F23" i="2"/>
  <c r="F24" i="2"/>
  <c r="F19" i="2"/>
  <c r="E20" i="2"/>
  <c r="E21" i="2"/>
  <c r="E22" i="2"/>
  <c r="E23" i="2"/>
  <c r="E24" i="2"/>
  <c r="E19" i="2"/>
  <c r="C20" i="2"/>
  <c r="D20" i="2" s="1"/>
  <c r="C21" i="2"/>
  <c r="D21" i="2" s="1"/>
  <c r="C22" i="2"/>
  <c r="D22" i="2" s="1"/>
  <c r="C23" i="2"/>
  <c r="D23" i="2" s="1"/>
  <c r="C24" i="2"/>
  <c r="D24" i="2" s="1"/>
  <c r="C19" i="2"/>
  <c r="D19" i="2" s="1"/>
</calcChain>
</file>

<file path=xl/sharedStrings.xml><?xml version="1.0" encoding="utf-8"?>
<sst xmlns="http://schemas.openxmlformats.org/spreadsheetml/2006/main" count="368" uniqueCount="165">
  <si>
    <t>m</t>
  </si>
  <si>
    <t>E fixed</t>
  </si>
  <si>
    <t>L fixed</t>
  </si>
  <si>
    <t>variable</t>
  </si>
  <si>
    <t>Power variation</t>
  </si>
  <si>
    <t>Grr</t>
  </si>
  <si>
    <t>mm</t>
  </si>
  <si>
    <t>Gt</t>
  </si>
  <si>
    <t>D</t>
  </si>
  <si>
    <t>Rotation</t>
  </si>
  <si>
    <t>Efficiency</t>
  </si>
  <si>
    <t>Head</t>
  </si>
  <si>
    <t>Turbine mode 2.5D</t>
  </si>
  <si>
    <t>Thickess 2D</t>
  </si>
  <si>
    <t>Rotor Height</t>
  </si>
  <si>
    <t>Not included in the 2D simulation model</t>
  </si>
  <si>
    <t>Avg Mass Flow (kg/s)/mm</t>
  </si>
  <si>
    <t>AvgPower W/mm</t>
  </si>
  <si>
    <t>AvgTorque R1 N.m/mm</t>
  </si>
  <si>
    <t>Avg Total Power</t>
  </si>
  <si>
    <t>Avg Mass Flow kg/s</t>
  </si>
  <si>
    <t>200rpm</t>
  </si>
  <si>
    <t>600 rpm</t>
  </si>
  <si>
    <t>300 rpm</t>
  </si>
  <si>
    <t>Estimated leakage through linear regression. Constant leakage because of constant water head, regardless of the rotation!</t>
  </si>
  <si>
    <t>(E-grr)*4/3</t>
  </si>
  <si>
    <t>Flow variation</t>
  </si>
  <si>
    <t>Estimated</t>
  </si>
  <si>
    <t>Crashed, but I had some average number before already</t>
  </si>
  <si>
    <t>rad/s</t>
  </si>
  <si>
    <t>Avg Torque R1</t>
  </si>
  <si>
    <t>Avg Total torque /N.m</t>
  </si>
  <si>
    <t>MaxTorque R1</t>
  </si>
  <si>
    <t>Torque 1 + Torque 2 (max)</t>
  </si>
  <si>
    <t>Torque 1 + Torque 2 (min)</t>
  </si>
  <si>
    <t>Max flow rate (L/s)</t>
  </si>
  <si>
    <t>rpm</t>
  </si>
  <si>
    <t>W</t>
  </si>
  <si>
    <t>power</t>
  </si>
  <si>
    <t>w</t>
  </si>
  <si>
    <t>torque</t>
  </si>
  <si>
    <t>N.m</t>
  </si>
  <si>
    <t>THE NET HEAD WILL CHANGE FOR EACH ROTATION SPEED BECAUSE THE PRESSURE LOSS IN THE SYSTEM CHANGES WITH DIF FLOWRATE/VELOCITIES. THEREFORE, I NEED TO RE-RUN THE CFD BY APPLYING DIFFERENT HEADS TO DIFFERENT ROTATIONS AS WELL.</t>
  </si>
  <si>
    <t>Q (l/s) or kg/s</t>
  </si>
  <si>
    <t>Q_TUB = 0.3691*w +  7.799</t>
  </si>
  <si>
    <t>W rotation speed (rpm)</t>
  </si>
  <si>
    <t>Expression for net head of 7.8m</t>
  </si>
  <si>
    <t>Considering small differences or changes in flow even with change in net head. PD shouldn't care too much and provide a more or less fixed Q despite changes in head.</t>
  </si>
  <si>
    <t>==&gt;&gt;&gt; BC for CFD</t>
  </si>
  <si>
    <t>H_net_turbine (m), for H total = 8.45m</t>
  </si>
  <si>
    <t>H_net_turbine (m), for H total = 7.45m</t>
  </si>
  <si>
    <t>Head net = -9E-5.x^2+1E-6.x+8.4499</t>
  </si>
  <si>
    <t>Head net = -9E-5.x^2+1E-6.x+7.9499</t>
  </si>
  <si>
    <t>Head net = -9E-5.x^2+1E-6.x+7.4499</t>
  </si>
  <si>
    <t>H_net_turbine (m), for H total = 7.95m</t>
  </si>
  <si>
    <t>H_net_pump (m), for H total = 8.45m</t>
  </si>
  <si>
    <t>H_net_pump (m), for H total = 7.95m</t>
  </si>
  <si>
    <t>H_net_pump (m), for H total = 7.45m</t>
  </si>
  <si>
    <t>Head net = 9E-5.x^2-1E-6.x+8.4501</t>
  </si>
  <si>
    <t>Head net = 9E-5.x^2-1E-6.x+7.9501</t>
  </si>
  <si>
    <t>Head net = 9E-5.x^2-1E-6.x+7.4501</t>
  </si>
  <si>
    <t>Head_net</t>
  </si>
  <si>
    <t>C71_H20-S001.pdf</t>
  </si>
  <si>
    <t>Grr = 0.5mm (rotor rotor gap)</t>
  </si>
  <si>
    <t>Gt = 0.15mm (tip gap)</t>
  </si>
  <si>
    <t>E = 262.5mm (rotor rotor distance)</t>
  </si>
  <si>
    <t>D_casing = 349.8mm (casing around rotor)</t>
  </si>
  <si>
    <t>Rotor height = 300mm</t>
  </si>
  <si>
    <t>L inlet = 236mm</t>
  </si>
  <si>
    <t>D_diameter = 349.5mm --&gt;&gt; 349.33mm (rotor diameter) - D_rotor_max = 349.5mm and D_rotor_min=349.2mm</t>
  </si>
  <si>
    <t>D_rotor</t>
  </si>
  <si>
    <t>D_casing</t>
  </si>
  <si>
    <t>2D CAD for TwinMesh and Spaceclaim</t>
  </si>
  <si>
    <t>Gt_calculated from above</t>
  </si>
  <si>
    <t xml:space="preserve">Slightly bigger than 0.15mm, BUT grr=0.5mm with Dr=349.33mm. </t>
  </si>
  <si>
    <t>From manufacturing tolerances:</t>
  </si>
  <si>
    <t>Drotor_max</t>
  </si>
  <si>
    <t>Drotor_min</t>
  </si>
  <si>
    <t>gt</t>
  </si>
  <si>
    <t>grr</t>
  </si>
  <si>
    <t>Drotor_designed</t>
  </si>
  <si>
    <t>TwinMesh</t>
  </si>
  <si>
    <t>0.4-0.5</t>
  </si>
  <si>
    <t>E</t>
  </si>
  <si>
    <t>D_rotor from sketch</t>
  </si>
  <si>
    <t>349.5mm???</t>
  </si>
  <si>
    <t>H_net_turbine (bar), for H total = 8.45m</t>
  </si>
  <si>
    <t>H_net_turbine (bar), for H total = 7.95m</t>
  </si>
  <si>
    <t>H_net_turbine (bar), for H total = 7.45m</t>
  </si>
  <si>
    <t>H_net_pump (bar), for H total = 8.45m</t>
  </si>
  <si>
    <t>H_net_pump (bar), for H total = 7.95m</t>
  </si>
  <si>
    <t>H_net_pump (bar), for H total = 7.45m</t>
  </si>
  <si>
    <t>H_net (m)</t>
  </si>
  <si>
    <t>Eta Mechanical</t>
  </si>
  <si>
    <t>Power (W)</t>
  </si>
  <si>
    <t>110 to -25</t>
  </si>
  <si>
    <t>0.77-0.90 * 300</t>
  </si>
  <si>
    <t>Average total torque, from Power (N.m)</t>
  </si>
  <si>
    <t>Average total torque, from Power (N.m/mm)</t>
  </si>
  <si>
    <t>Rotor height</t>
  </si>
  <si>
    <t>Average flow Q (l/s / mm)</t>
  </si>
  <si>
    <t>Turbine for H total = 8.45m</t>
  </si>
  <si>
    <t>Turbine for H total = 7.95m</t>
  </si>
  <si>
    <t>Turbine for H total = 7.45m</t>
  </si>
  <si>
    <t>Pump for H total = 8.45m</t>
  </si>
  <si>
    <t>Pump for H total = 7.95m</t>
  </si>
  <si>
    <t>Pump for H total = 7.45m</t>
  </si>
  <si>
    <t>Max torque (R1 or R2), (N.m)</t>
  </si>
  <si>
    <t>Max flow Q (l/s / mm)</t>
  </si>
  <si>
    <t>Min flow Q (l/s / mm)</t>
  </si>
  <si>
    <t>Max flow Q (l/s)</t>
  </si>
  <si>
    <t>Min flow Q (l/s)</t>
  </si>
  <si>
    <t>Eta Volumetric</t>
  </si>
  <si>
    <t>Power (W/mm) [changed signs on solver]</t>
  </si>
  <si>
    <t>Max Torque from TUB = 360N.m</t>
  </si>
  <si>
    <t>Power turbine (H=8.45m)</t>
  </si>
  <si>
    <t>Power turbine (H=7.45m)</t>
  </si>
  <si>
    <t>Power turbine (H=7.95m)</t>
  </si>
  <si>
    <t>Power pump (H=8.45m)</t>
  </si>
  <si>
    <t>Power pump (H=7.95m)</t>
  </si>
  <si>
    <t>Power pump (H=7.45m)</t>
  </si>
  <si>
    <t>N (rotation)</t>
  </si>
  <si>
    <t>Discharge (l/s)</t>
  </si>
  <si>
    <t>a</t>
  </si>
  <si>
    <t>b</t>
  </si>
  <si>
    <t>c</t>
  </si>
  <si>
    <t xml:space="preserve">Maximum torque = </t>
  </si>
  <si>
    <t>Torque calculated (N.m)</t>
  </si>
  <si>
    <t>l/s</t>
  </si>
  <si>
    <t>Max rotation speed (N)</t>
  </si>
  <si>
    <t>Rodar para N = 170 rpm !!!</t>
  </si>
  <si>
    <t>Best efficiency maybe</t>
  </si>
  <si>
    <t>Highest power output for turbine, approx</t>
  </si>
  <si>
    <t>Rodar para Q = 125 l/s !!! (N=320rpm)</t>
  </si>
  <si>
    <t>Qavg turbine (H=8.45m)</t>
  </si>
  <si>
    <t>Qavg turbine (H=7.95m)</t>
  </si>
  <si>
    <t>Qavg turbine (H=7.45m)</t>
  </si>
  <si>
    <t>Qavg pump (H=8.45m)</t>
  </si>
  <si>
    <t>Qavg pump (H=7.95m)</t>
  </si>
  <si>
    <t>Qavg pump (H=7.45m)</t>
  </si>
  <si>
    <t>COMBINED EFFICIENCY</t>
  </si>
  <si>
    <t>RPT efficiency = eta mech pump * eta mech turb</t>
  </si>
  <si>
    <t>H total = 8.45m</t>
  </si>
  <si>
    <t>H total = 7.95m</t>
  </si>
  <si>
    <t>H total = 7.45m</t>
  </si>
  <si>
    <t>Flow pulsation (l/s)</t>
  </si>
  <si>
    <t>Flow pulsation (% of average flowrate)</t>
  </si>
  <si>
    <t>Maximum average discharge allowed (from pump) =</t>
  </si>
  <si>
    <t>Real discharge (turbine mode) = 0.3797 w + 3.1526</t>
  </si>
  <si>
    <t>Q</t>
  </si>
  <si>
    <t>Rodar para Q = 56.3 l/s (Best eta, estimation), N=140rpm</t>
  </si>
  <si>
    <t>CFD Average flow Q (l/s)</t>
  </si>
  <si>
    <t>Max torque (R1 or R2), (N.m/mm) - From individual rotor, no sum.</t>
  </si>
  <si>
    <t xml:space="preserve">Max Power (W/mm) </t>
  </si>
  <si>
    <t xml:space="preserve">Max Torque from Max Power (W/mm) </t>
  </si>
  <si>
    <t>Max torque (R1 or R2), (N.m) - From individual rotor, no sum</t>
  </si>
  <si>
    <t>Rotation speed</t>
  </si>
  <si>
    <t>Coarser Mesh with same dt</t>
  </si>
  <si>
    <t xml:space="preserve"> - higher variance</t>
  </si>
  <si>
    <t>=======&gt;&gt;&gt;&gt;&gt;&gt;&gt;&gt;&gt;&gt;&gt;&gt;&gt;&gt;&gt;&gt;&gt;&gt;&gt;&gt;&gt;&gt;&gt;&gt;</t>
  </si>
  <si>
    <t>Q (l/s) or kg/s - target</t>
  </si>
  <si>
    <t xml:space="preserve"> </t>
  </si>
  <si>
    <t>Backtup  Original Turbine Max Torque</t>
  </si>
  <si>
    <t>minus</t>
  </si>
  <si>
    <t>Bakup Original Pump Torque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</si>
</sst>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5" formatCode="0.0000"/>
    <numFmt numFmtId="168" formatCode="0.000"/>
    <numFmt numFmtId="169" formatCode="0.0%"/>
    <numFmt numFmtId="170" formatCode="0.000000"/>
    <numFmt numFmtId="171" formatCode="0.0\ %"/>
    <numFmt numFmtId="172" formatCode="0.0"/>
    <numFmt numFmtId="173" formatCode="0.000\ %"/>
    <numFmt numFmtId="174" formatCode="0.000000\ 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0" fillId="2" borderId="0" xfId="0" applyFill="1"/>
    <xf numFmtId="0" fontId="0" fillId="3" borderId="0" xfId="0" applyFill="1"/>
    <xf numFmtId="0" fontId="4" fillId="2" borderId="0" xfId="0" applyFont="1" applyFill="1"/>
    <xf numFmtId="0" fontId="2" fillId="0" borderId="0" xfId="0" applyFont="1"/>
    <xf numFmtId="0" fontId="0" fillId="0" borderId="0" xfId="0" quotePrefix="1"/>
    <xf numFmtId="0" fontId="0" fillId="5" borderId="0" xfId="0" applyFill="1"/>
    <xf numFmtId="0" fontId="0" fillId="6" borderId="0" xfId="0" applyFill="1"/>
    <xf numFmtId="0" fontId="0" fillId="4" borderId="0" xfId="0" applyFill="1"/>
    <xf numFmtId="10" fontId="0" fillId="0" borderId="0" xfId="1" applyNumberFormat="1" applyFont="1"/>
    <xf numFmtId="10" fontId="0" fillId="0" borderId="0" xfId="1" applyNumberFormat="1" applyFont="1" applyFill="1"/>
    <xf numFmtId="0" fontId="5" fillId="0" borderId="0" xfId="0" applyFont="1"/>
    <xf numFmtId="0" fontId="0" fillId="0" borderId="0" xfId="1" applyNumberFormat="1" applyFont="1"/>
    <xf numFmtId="2" fontId="0" fillId="0" borderId="0" xfId="0" applyNumberFormat="1"/>
    <xf numFmtId="0" fontId="3" fillId="2" borderId="0" xfId="0" applyFont="1" applyFill="1"/>
    <xf numFmtId="0" fontId="3" fillId="0" borderId="0" xfId="0" applyFont="1"/>
    <xf numFmtId="0" fontId="2" fillId="0" borderId="0" xfId="1" applyNumberFormat="1" applyFont="1"/>
    <xf numFmtId="0" fontId="5" fillId="0" borderId="0" xfId="1" applyNumberFormat="1" applyFont="1"/>
    <xf numFmtId="9" fontId="0" fillId="0" borderId="0" xfId="0" applyNumberFormat="1"/>
    <xf numFmtId="10" fontId="0" fillId="0" borderId="0" xfId="0" applyNumberFormat="1"/>
    <xf numFmtId="169" fontId="0" fillId="0" borderId="0" xfId="0" applyNumberFormat="1"/>
    <xf numFmtId="0" fontId="3" fillId="6" borderId="0" xfId="0" applyFont="1" applyFill="1"/>
    <xf numFmtId="0" fontId="6" fillId="6" borderId="0" xfId="0" applyFont="1" applyFill="1" applyAlignment="1">
      <alignment wrapText="1"/>
    </xf>
    <xf numFmtId="0" fontId="0" fillId="9" borderId="0" xfId="0" applyFill="1"/>
    <xf numFmtId="0" fontId="0" fillId="7" borderId="0" xfId="0" applyFill="1"/>
    <xf numFmtId="170" fontId="0" fillId="0" borderId="0" xfId="0" applyNumberFormat="1"/>
    <xf numFmtId="165" fontId="0" fillId="0" borderId="0" xfId="0" applyNumberFormat="1"/>
    <xf numFmtId="2" fontId="0" fillId="2" borderId="0" xfId="0" applyNumberFormat="1" applyFill="1"/>
    <xf numFmtId="0" fontId="6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5"/>
    </xf>
    <xf numFmtId="0" fontId="3" fillId="0" borderId="0" xfId="0" applyFont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/>
    <xf numFmtId="0" fontId="0" fillId="0" borderId="0" xfId="0" applyAlignment="1">
      <alignment horizontal="right"/>
    </xf>
    <xf numFmtId="0" fontId="3" fillId="0" borderId="0" xfId="0" applyFont="1" applyAlignment="1">
      <alignment wrapText="1"/>
    </xf>
    <xf numFmtId="9" fontId="2" fillId="0" borderId="0" xfId="0" applyNumberFormat="1" applyFont="1"/>
    <xf numFmtId="171" fontId="0" fillId="0" borderId="0" xfId="0" applyNumberFormat="1"/>
    <xf numFmtId="0" fontId="0" fillId="9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7" borderId="4" xfId="0" applyFill="1" applyBorder="1"/>
    <xf numFmtId="0" fontId="0" fillId="7" borderId="5" xfId="0" applyFill="1" applyBorder="1"/>
    <xf numFmtId="0" fontId="0" fillId="0" borderId="4" xfId="0" applyBorder="1"/>
    <xf numFmtId="0" fontId="5" fillId="3" borderId="5" xfId="0" applyFont="1" applyFill="1" applyBorder="1"/>
    <xf numFmtId="0" fontId="0" fillId="3" borderId="5" xfId="0" applyFill="1" applyBorder="1"/>
    <xf numFmtId="0" fontId="0" fillId="0" borderId="6" xfId="0" applyBorder="1"/>
    <xf numFmtId="0" fontId="0" fillId="10" borderId="7" xfId="0" applyFill="1" applyBorder="1"/>
    <xf numFmtId="0" fontId="0" fillId="4" borderId="7" xfId="0" applyFill="1" applyBorder="1"/>
    <xf numFmtId="0" fontId="0" fillId="3" borderId="7" xfId="0" applyFill="1" applyBorder="1"/>
    <xf numFmtId="2" fontId="0" fillId="3" borderId="7" xfId="0" applyNumberFormat="1" applyFill="1" applyBorder="1"/>
    <xf numFmtId="0" fontId="0" fillId="3" borderId="8" xfId="0" applyFill="1" applyBorder="1"/>
    <xf numFmtId="10" fontId="0" fillId="0" borderId="0" xfId="0" quotePrefix="1" applyNumberFormat="1"/>
    <xf numFmtId="10" fontId="5" fillId="0" borderId="0" xfId="0" applyNumberFormat="1" applyFont="1"/>
    <xf numFmtId="0" fontId="0" fillId="10" borderId="0" xfId="0" applyFill="1"/>
    <xf numFmtId="2" fontId="0" fillId="3" borderId="0" xfId="0" applyNumberFormat="1" applyFill="1"/>
    <xf numFmtId="2" fontId="0" fillId="10" borderId="0" xfId="0" applyNumberFormat="1" applyFill="1"/>
    <xf numFmtId="2" fontId="0" fillId="0" borderId="7" xfId="0" applyNumberFormat="1" applyBorder="1"/>
    <xf numFmtId="172" fontId="0" fillId="0" borderId="0" xfId="0" applyNumberFormat="1"/>
    <xf numFmtId="173" fontId="0" fillId="0" borderId="0" xfId="0" applyNumberFormat="1"/>
    <xf numFmtId="0" fontId="8" fillId="2" borderId="0" xfId="0" applyFont="1" applyFill="1"/>
    <xf numFmtId="174" fontId="0" fillId="0" borderId="0" xfId="0" applyNumberFormat="1"/>
    <xf numFmtId="171" fontId="0" fillId="0" borderId="0" xfId="1" applyNumberFormat="1" applyFont="1"/>
    <xf numFmtId="168" fontId="0" fillId="7" borderId="0" xfId="0" applyNumberFormat="1" applyFill="1"/>
    <xf numFmtId="10" fontId="0" fillId="2" borderId="0" xfId="0" applyNumberFormat="1" applyFill="1"/>
    <xf numFmtId="172" fontId="0" fillId="2" borderId="0" xfId="0" applyNumberFormat="1" applyFill="1"/>
    <xf numFmtId="168" fontId="0" fillId="2" borderId="0" xfId="0" applyNumberFormat="1" applyFill="1"/>
    <xf numFmtId="0" fontId="3" fillId="7" borderId="0" xfId="0" applyFont="1" applyFill="1" applyAlignment="1">
      <alignment horizontal="center" wrapText="1"/>
    </xf>
    <xf numFmtId="0" fontId="0" fillId="7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 vs eta - First estimation'!$C$7</c:f>
              <c:strCache>
                <c:ptCount val="1"/>
                <c:pt idx="0">
                  <c:v>Efficiency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 vs eta - First estimation'!$A$8:$A$14</c:f>
              <c:numCache>
                <c:formatCode>General</c:formatCode>
                <c:ptCount val="7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</c:numCache>
            </c:numRef>
          </c:xVal>
          <c:yVal>
            <c:numRef>
              <c:f>'w vs eta - First estimation'!$C$8:$C$14</c:f>
              <c:numCache>
                <c:formatCode>General</c:formatCode>
                <c:ptCount val="7"/>
                <c:pt idx="0">
                  <c:v>0</c:v>
                </c:pt>
                <c:pt idx="1">
                  <c:v>77.739999999999995</c:v>
                </c:pt>
                <c:pt idx="2">
                  <c:v>85.36</c:v>
                </c:pt>
                <c:pt idx="3">
                  <c:v>85.399999999999991</c:v>
                </c:pt>
                <c:pt idx="4">
                  <c:v>76.83</c:v>
                </c:pt>
                <c:pt idx="5">
                  <c:v>62.2</c:v>
                </c:pt>
                <c:pt idx="6">
                  <c:v>42.699999999999996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B5-4443-9137-4FE7D23E6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34271"/>
        <c:axId val="136008255"/>
      </c:scatterChart>
      <c:valAx>
        <c:axId val="135234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36008255"/>
        <c:crosses val="autoZero"/>
        <c:crossBetween val="midCat"/>
      </c:valAx>
      <c:valAx>
        <c:axId val="13600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352342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Turbine</a:t>
            </a:r>
            <a:r>
              <a:rPr lang="nb-NO" baseline="0"/>
              <a:t> </a:t>
            </a:r>
            <a:r>
              <a:rPr lang="nb-NO"/>
              <a:t>Mechanical Efficiency</a:t>
            </a:r>
            <a:endParaRPr lang="nb-NO" baseline="0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Reversible'!$AP$57</c:f>
              <c:strCache>
                <c:ptCount val="1"/>
                <c:pt idx="0">
                  <c:v>Turbine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Reversible'!$AO$58:$AO$65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Reversible'!$AP$58:$AP$65</c:f>
              <c:numCache>
                <c:formatCode>0.0\ %</c:formatCode>
                <c:ptCount val="8"/>
                <c:pt idx="0">
                  <c:v>0.875</c:v>
                </c:pt>
                <c:pt idx="1">
                  <c:v>0.91400000000000003</c:v>
                </c:pt>
                <c:pt idx="2">
                  <c:v>0.91600000000000004</c:v>
                </c:pt>
                <c:pt idx="3">
                  <c:v>0.90200000000000002</c:v>
                </c:pt>
                <c:pt idx="4">
                  <c:v>0.83</c:v>
                </c:pt>
                <c:pt idx="5">
                  <c:v>0.72499999999999998</c:v>
                </c:pt>
                <c:pt idx="6">
                  <c:v>0.57999999999999996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CB6E-41E7-9433-75DFBDD7945A}"/>
            </c:ext>
          </c:extLst>
        </c:ser>
        <c:ser>
          <c:idx val="1"/>
          <c:order val="1"/>
          <c:tx>
            <c:strRef>
              <c:f>'TUB DoE - Reversible'!$AQ$57</c:f>
              <c:strCache>
                <c:ptCount val="1"/>
                <c:pt idx="0">
                  <c:v>Turbine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Reversible'!$AO$58:$AO$65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Reversible'!$AQ$58:$AQ$65</c:f>
              <c:numCache>
                <c:formatCode>0.0\ %</c:formatCode>
                <c:ptCount val="8"/>
                <c:pt idx="0">
                  <c:v>0.877</c:v>
                </c:pt>
                <c:pt idx="1">
                  <c:v>0.91300000000000003</c:v>
                </c:pt>
                <c:pt idx="2">
                  <c:v>0.91500000000000004</c:v>
                </c:pt>
                <c:pt idx="3">
                  <c:v>0.89900000000000002</c:v>
                </c:pt>
                <c:pt idx="4">
                  <c:v>0.82</c:v>
                </c:pt>
                <c:pt idx="5">
                  <c:v>0.71099999999999997</c:v>
                </c:pt>
                <c:pt idx="6">
                  <c:v>0.54</c:v>
                </c:pt>
                <c:pt idx="7">
                  <c:v>-0.12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CB6E-41E7-9433-75DFBDD7945A}"/>
            </c:ext>
          </c:extLst>
        </c:ser>
        <c:ser>
          <c:idx val="2"/>
          <c:order val="2"/>
          <c:tx>
            <c:strRef>
              <c:f>'TUB DoE - Reversible'!$AR$57</c:f>
              <c:strCache>
                <c:ptCount val="1"/>
                <c:pt idx="0">
                  <c:v>Turbine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Reversible'!$AO$58:$AO$65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Reversible'!$AR$58:$AR$65</c:f>
              <c:numCache>
                <c:formatCode>0.0\ %</c:formatCode>
                <c:ptCount val="8"/>
                <c:pt idx="0">
                  <c:v>0.879</c:v>
                </c:pt>
                <c:pt idx="1">
                  <c:v>0.91200000000000003</c:v>
                </c:pt>
                <c:pt idx="2">
                  <c:v>0.91300000000000003</c:v>
                </c:pt>
                <c:pt idx="3">
                  <c:v>0.89700000000000002</c:v>
                </c:pt>
                <c:pt idx="4">
                  <c:v>0.80900000000000005</c:v>
                </c:pt>
                <c:pt idx="5">
                  <c:v>0.68300000000000005</c:v>
                </c:pt>
                <c:pt idx="6">
                  <c:v>0.498</c:v>
                </c:pt>
                <c:pt idx="7">
                  <c:v>-0.27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CB6E-41E7-9433-75DFBDD79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</a:t>
                </a:r>
                <a:r>
                  <a:rPr lang="nb-NO" baseline="0"/>
                  <a:t> speed (rpm)</a:t>
                </a:r>
                <a:endParaRPr lang="nb-NO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\ 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Pump Mechanical Efficiency</a:t>
            </a:r>
            <a:endParaRPr lang="nb-NO" baseline="0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Reversible'!$AP$68</c:f>
              <c:strCache>
                <c:ptCount val="1"/>
                <c:pt idx="0">
                  <c:v>Pump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Reversible'!$AO$69:$AO$75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Reversible'!$AP$69:$AP$75</c:f>
              <c:numCache>
                <c:formatCode>0.00%</c:formatCode>
                <c:ptCount val="7"/>
                <c:pt idx="0">
                  <c:v>0.85599999999999998</c:v>
                </c:pt>
                <c:pt idx="1">
                  <c:v>0.91</c:v>
                </c:pt>
                <c:pt idx="2">
                  <c:v>0.91600000000000004</c:v>
                </c:pt>
                <c:pt idx="3">
                  <c:v>0.91</c:v>
                </c:pt>
                <c:pt idx="4">
                  <c:v>0.86299999999999999</c:v>
                </c:pt>
                <c:pt idx="5">
                  <c:v>0.79300000000000004</c:v>
                </c:pt>
                <c:pt idx="6">
                  <c:v>0.72899999999999998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D43-4281-9698-A84245066E72}"/>
            </c:ext>
          </c:extLst>
        </c:ser>
        <c:ser>
          <c:idx val="1"/>
          <c:order val="1"/>
          <c:tx>
            <c:strRef>
              <c:f>'TUB DoE - Reversible'!$AQ$68</c:f>
              <c:strCache>
                <c:ptCount val="1"/>
                <c:pt idx="0">
                  <c:v>Pump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Reversible'!$AO$69:$AO$75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Reversible'!$AQ$69:$AQ$75</c:f>
              <c:numCache>
                <c:formatCode>0.00%</c:formatCode>
                <c:ptCount val="7"/>
                <c:pt idx="0">
                  <c:v>0.86</c:v>
                </c:pt>
                <c:pt idx="1">
                  <c:v>0.90800000000000003</c:v>
                </c:pt>
                <c:pt idx="2">
                  <c:v>0.91449999999999998</c:v>
                </c:pt>
                <c:pt idx="3">
                  <c:v>0.90800000000000003</c:v>
                </c:pt>
                <c:pt idx="4">
                  <c:v>0.85799999999999998</c:v>
                </c:pt>
                <c:pt idx="5">
                  <c:v>0.78300000000000003</c:v>
                </c:pt>
                <c:pt idx="6">
                  <c:v>0.72199999999999998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D43-4281-9698-A84245066E72}"/>
            </c:ext>
          </c:extLst>
        </c:ser>
        <c:ser>
          <c:idx val="2"/>
          <c:order val="2"/>
          <c:tx>
            <c:strRef>
              <c:f>'TUB DoE - Reversible'!$AR$68</c:f>
              <c:strCache>
                <c:ptCount val="1"/>
                <c:pt idx="0">
                  <c:v>Pump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Reversible'!$AO$69:$AO$75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Reversible'!$AR$69:$AR$75</c:f>
              <c:numCache>
                <c:formatCode>0.00%</c:formatCode>
                <c:ptCount val="7"/>
                <c:pt idx="0">
                  <c:v>0.86399999999999999</c:v>
                </c:pt>
                <c:pt idx="1">
                  <c:v>0.90600000000000003</c:v>
                </c:pt>
                <c:pt idx="2">
                  <c:v>0.91300000000000003</c:v>
                </c:pt>
                <c:pt idx="3">
                  <c:v>0.90600000000000003</c:v>
                </c:pt>
                <c:pt idx="4">
                  <c:v>0.85499999999999998</c:v>
                </c:pt>
                <c:pt idx="5">
                  <c:v>0.77600000000000002</c:v>
                </c:pt>
                <c:pt idx="6">
                  <c:v>0.71499999999999997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D43-4281-9698-A84245066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Maximum</a:t>
            </a:r>
            <a:r>
              <a:rPr lang="en-US" baseline="0"/>
              <a:t> torque - Pump mode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Reversible'!$AP$117</c:f>
              <c:strCache>
                <c:ptCount val="1"/>
                <c:pt idx="0">
                  <c:v>Pump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trendlineType val="poly"/>
            <c:order val="2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'TUB DoE - Reversible'!$AO$118:$AO$123</c:f>
              <c:numCache>
                <c:formatCode>General</c:formatCode>
                <c:ptCount val="6"/>
                <c:pt idx="0">
                  <c:v>25</c:v>
                </c:pt>
                <c:pt idx="1">
                  <c:v>50</c:v>
                </c:pt>
                <c:pt idx="2">
                  <c:v>67.8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</c:numCache>
            </c:numRef>
          </c:xVal>
          <c:yVal>
            <c:numRef>
              <c:f>'TUB DoE - Reversible'!$AP$118:$AP$123</c:f>
              <c:numCache>
                <c:formatCode>General</c:formatCode>
                <c:ptCount val="6"/>
                <c:pt idx="0">
                  <c:v>306</c:v>
                </c:pt>
                <c:pt idx="1">
                  <c:v>327</c:v>
                </c:pt>
                <c:pt idx="2">
                  <c:v>366</c:v>
                </c:pt>
                <c:pt idx="3">
                  <c:v>429</c:v>
                </c:pt>
                <c:pt idx="4">
                  <c:v>576</c:v>
                </c:pt>
                <c:pt idx="5">
                  <c:v>774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602-455A-9E58-CDAE4B90D6A5}"/>
            </c:ext>
          </c:extLst>
        </c:ser>
        <c:ser>
          <c:idx val="1"/>
          <c:order val="1"/>
          <c:tx>
            <c:strRef>
              <c:f>'TUB DoE - Reversible'!$AQ$117</c:f>
              <c:strCache>
                <c:ptCount val="1"/>
                <c:pt idx="0">
                  <c:v>Pump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Reversible'!$AO$118:$AO$123</c:f>
              <c:numCache>
                <c:formatCode>General</c:formatCode>
                <c:ptCount val="6"/>
                <c:pt idx="0">
                  <c:v>25</c:v>
                </c:pt>
                <c:pt idx="1">
                  <c:v>50</c:v>
                </c:pt>
                <c:pt idx="2">
                  <c:v>67.8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</c:numCache>
            </c:numRef>
          </c:xVal>
          <c:yVal>
            <c:numRef>
              <c:f>'TUB DoE - Reversible'!$AQ$118:$AQ$123</c:f>
              <c:numCache>
                <c:formatCode>General</c:formatCode>
                <c:ptCount val="6"/>
                <c:pt idx="0">
                  <c:v>288</c:v>
                </c:pt>
                <c:pt idx="1">
                  <c:v>312</c:v>
                </c:pt>
                <c:pt idx="2">
                  <c:v>348</c:v>
                </c:pt>
                <c:pt idx="3">
                  <c:v>408.00000000000006</c:v>
                </c:pt>
                <c:pt idx="4">
                  <c:v>552</c:v>
                </c:pt>
                <c:pt idx="5">
                  <c:v>750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602-455A-9E58-CDAE4B90D6A5}"/>
            </c:ext>
          </c:extLst>
        </c:ser>
        <c:ser>
          <c:idx val="2"/>
          <c:order val="2"/>
          <c:tx>
            <c:strRef>
              <c:f>'TUB DoE - Reversible'!$AR$117</c:f>
              <c:strCache>
                <c:ptCount val="1"/>
                <c:pt idx="0">
                  <c:v>Pump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Reversible'!$AO$118:$AO$123</c:f>
              <c:numCache>
                <c:formatCode>General</c:formatCode>
                <c:ptCount val="6"/>
                <c:pt idx="0">
                  <c:v>25</c:v>
                </c:pt>
                <c:pt idx="1">
                  <c:v>50</c:v>
                </c:pt>
                <c:pt idx="2">
                  <c:v>67.8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</c:numCache>
            </c:numRef>
          </c:xVal>
          <c:yVal>
            <c:numRef>
              <c:f>'TUB DoE - Reversible'!$AR$118:$AR$123</c:f>
              <c:numCache>
                <c:formatCode>General</c:formatCode>
                <c:ptCount val="6"/>
                <c:pt idx="0">
                  <c:v>270</c:v>
                </c:pt>
                <c:pt idx="1">
                  <c:v>294</c:v>
                </c:pt>
                <c:pt idx="2">
                  <c:v>333.00000000000006</c:v>
                </c:pt>
                <c:pt idx="3">
                  <c:v>390</c:v>
                </c:pt>
                <c:pt idx="4">
                  <c:v>540</c:v>
                </c:pt>
                <c:pt idx="5">
                  <c:v>750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602-455A-9E58-CDAE4B90D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Discharge (l/s)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Maximum torque, from individual rotors- Turbine mode, last 2 points are off. Turbine won't work properly there I guess, and we are adding power to the shaft for the rotor to work there.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Reversible'!$AP$88</c:f>
              <c:strCache>
                <c:ptCount val="1"/>
                <c:pt idx="0">
                  <c:v>Turbine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Reversible'!$AO$89:$AO$95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 formatCode="General">
                  <c:v>170</c:v>
                </c:pt>
                <c:pt idx="3" formatCode="General">
                  <c:v>250</c:v>
                </c:pt>
                <c:pt idx="4" formatCode="General">
                  <c:v>320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Reversible'!$AP$89:$AP$95</c:f>
              <c:numCache>
                <c:formatCode>General</c:formatCode>
                <c:ptCount val="7"/>
                <c:pt idx="0">
                  <c:v>288</c:v>
                </c:pt>
                <c:pt idx="1">
                  <c:v>270</c:v>
                </c:pt>
                <c:pt idx="2">
                  <c:v>264</c:v>
                </c:pt>
                <c:pt idx="3">
                  <c:v>235.20000000000002</c:v>
                </c:pt>
                <c:pt idx="4">
                  <c:v>293.39999999999998</c:v>
                </c:pt>
                <c:pt idx="5">
                  <c:v>345</c:v>
                </c:pt>
                <c:pt idx="6">
                  <c:v>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CF8-4E66-8FF1-9F94C62C8327}"/>
            </c:ext>
          </c:extLst>
        </c:ser>
        <c:ser>
          <c:idx val="1"/>
          <c:order val="1"/>
          <c:tx>
            <c:strRef>
              <c:f>'TUB DoE - Reversible'!$AQ$88</c:f>
              <c:strCache>
                <c:ptCount val="1"/>
                <c:pt idx="0">
                  <c:v>Turbine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Reversible'!$AO$89:$AO$95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 formatCode="General">
                  <c:v>170</c:v>
                </c:pt>
                <c:pt idx="3" formatCode="General">
                  <c:v>250</c:v>
                </c:pt>
                <c:pt idx="4" formatCode="General">
                  <c:v>320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Reversible'!$AQ$89:$AQ$95</c:f>
              <c:numCache>
                <c:formatCode>General</c:formatCode>
                <c:ptCount val="7"/>
                <c:pt idx="0">
                  <c:v>271.5</c:v>
                </c:pt>
                <c:pt idx="1">
                  <c:v>252</c:v>
                </c:pt>
                <c:pt idx="2">
                  <c:v>249</c:v>
                </c:pt>
                <c:pt idx="3">
                  <c:v>240</c:v>
                </c:pt>
                <c:pt idx="4">
                  <c:v>281.31</c:v>
                </c:pt>
                <c:pt idx="5">
                  <c:v>330</c:v>
                </c:pt>
                <c:pt idx="6">
                  <c:v>444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CF8-4E66-8FF1-9F94C62C8327}"/>
            </c:ext>
          </c:extLst>
        </c:ser>
        <c:ser>
          <c:idx val="2"/>
          <c:order val="2"/>
          <c:tx>
            <c:strRef>
              <c:f>'TUB DoE - Reversible'!$AR$88</c:f>
              <c:strCache>
                <c:ptCount val="1"/>
                <c:pt idx="0">
                  <c:v>Turbine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Reversible'!$AO$89:$AO$95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 formatCode="General">
                  <c:v>170</c:v>
                </c:pt>
                <c:pt idx="3" formatCode="General">
                  <c:v>250</c:v>
                </c:pt>
                <c:pt idx="4" formatCode="General">
                  <c:v>320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Reversible'!$AR$89:$AR$95</c:f>
              <c:numCache>
                <c:formatCode>General</c:formatCode>
                <c:ptCount val="7"/>
                <c:pt idx="0">
                  <c:v>254.1</c:v>
                </c:pt>
                <c:pt idx="1">
                  <c:v>234</c:v>
                </c:pt>
                <c:pt idx="2">
                  <c:v>237</c:v>
                </c:pt>
                <c:pt idx="3">
                  <c:v>228</c:v>
                </c:pt>
                <c:pt idx="4">
                  <c:v>270.84000000000003</c:v>
                </c:pt>
                <c:pt idx="5">
                  <c:v>318</c:v>
                </c:pt>
                <c:pt idx="6">
                  <c:v>450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CF8-4E66-8FF1-9F94C62C8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</a:t>
                </a:r>
                <a:r>
                  <a:rPr lang="nb-NO" baseline="0"/>
                  <a:t> speed (rpm)</a:t>
                </a:r>
                <a:endParaRPr lang="nb-NO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Maximum torque, from individual rotos - Turbine mode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Reversible'!$AP$88</c:f>
              <c:strCache>
                <c:ptCount val="1"/>
                <c:pt idx="0">
                  <c:v>Turbine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Reversible'!$AO$89:$AO$92</c:f>
              <c:numCache>
                <c:formatCode>0.0</c:formatCode>
                <c:ptCount val="4"/>
                <c:pt idx="0">
                  <c:v>46.602546735302091</c:v>
                </c:pt>
                <c:pt idx="1">
                  <c:v>114</c:v>
                </c:pt>
                <c:pt idx="2" formatCode="General">
                  <c:v>170</c:v>
                </c:pt>
                <c:pt idx="3" formatCode="General">
                  <c:v>250</c:v>
                </c:pt>
              </c:numCache>
            </c:numRef>
          </c:xVal>
          <c:yVal>
            <c:numRef>
              <c:f>'TUB DoE - Reversible'!$AP$89:$AP$92</c:f>
              <c:numCache>
                <c:formatCode>General</c:formatCode>
                <c:ptCount val="4"/>
                <c:pt idx="0">
                  <c:v>288</c:v>
                </c:pt>
                <c:pt idx="1">
                  <c:v>270</c:v>
                </c:pt>
                <c:pt idx="2">
                  <c:v>264</c:v>
                </c:pt>
                <c:pt idx="3">
                  <c:v>235.20000000000002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00-4F9B-B888-D90A845FED73}"/>
            </c:ext>
          </c:extLst>
        </c:ser>
        <c:ser>
          <c:idx val="1"/>
          <c:order val="1"/>
          <c:tx>
            <c:strRef>
              <c:f>'TUB DoE - Reversible'!$AQ$88</c:f>
              <c:strCache>
                <c:ptCount val="1"/>
                <c:pt idx="0">
                  <c:v>Turbine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Reversible'!$AO$89:$AO$92</c:f>
              <c:numCache>
                <c:formatCode>0.0</c:formatCode>
                <c:ptCount val="4"/>
                <c:pt idx="0">
                  <c:v>46.602546735302091</c:v>
                </c:pt>
                <c:pt idx="1">
                  <c:v>114</c:v>
                </c:pt>
                <c:pt idx="2" formatCode="General">
                  <c:v>170</c:v>
                </c:pt>
                <c:pt idx="3" formatCode="General">
                  <c:v>250</c:v>
                </c:pt>
              </c:numCache>
            </c:numRef>
          </c:xVal>
          <c:yVal>
            <c:numRef>
              <c:f>'TUB DoE - Reversible'!$AQ$89:$AQ$92</c:f>
              <c:numCache>
                <c:formatCode>General</c:formatCode>
                <c:ptCount val="4"/>
                <c:pt idx="0">
                  <c:v>271.5</c:v>
                </c:pt>
                <c:pt idx="1">
                  <c:v>252</c:v>
                </c:pt>
                <c:pt idx="2">
                  <c:v>249</c:v>
                </c:pt>
                <c:pt idx="3">
                  <c:v>240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A00-4F9B-B888-D90A845FED73}"/>
            </c:ext>
          </c:extLst>
        </c:ser>
        <c:ser>
          <c:idx val="2"/>
          <c:order val="2"/>
          <c:tx>
            <c:strRef>
              <c:f>'TUB DoE - Reversible'!$AR$88</c:f>
              <c:strCache>
                <c:ptCount val="1"/>
                <c:pt idx="0">
                  <c:v>Turbine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Reversible'!$AO$89:$AO$92</c:f>
              <c:numCache>
                <c:formatCode>0.0</c:formatCode>
                <c:ptCount val="4"/>
                <c:pt idx="0">
                  <c:v>46.602546735302091</c:v>
                </c:pt>
                <c:pt idx="1">
                  <c:v>114</c:v>
                </c:pt>
                <c:pt idx="2" formatCode="General">
                  <c:v>170</c:v>
                </c:pt>
                <c:pt idx="3" formatCode="General">
                  <c:v>250</c:v>
                </c:pt>
              </c:numCache>
            </c:numRef>
          </c:xVal>
          <c:yVal>
            <c:numRef>
              <c:f>'TUB DoE - Reversible'!$AR$89:$AR$92</c:f>
              <c:numCache>
                <c:formatCode>General</c:formatCode>
                <c:ptCount val="4"/>
                <c:pt idx="0">
                  <c:v>254.1</c:v>
                </c:pt>
                <c:pt idx="1">
                  <c:v>234</c:v>
                </c:pt>
                <c:pt idx="2">
                  <c:v>237</c:v>
                </c:pt>
                <c:pt idx="3">
                  <c:v>228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A00-4F9B-B888-D90A845FE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baseline="0"/>
              <a:t>PD RPT Efficiency for machine running at same speed on both pump and turbine mode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Reversible'!$AY$59</c:f>
              <c:strCache>
                <c:ptCount val="1"/>
                <c:pt idx="0">
                  <c:v>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Reversible'!$AX$60:$AX$66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 formatCode="General">
                  <c:v>140</c:v>
                </c:pt>
                <c:pt idx="3">
                  <c:v>170</c:v>
                </c:pt>
                <c:pt idx="4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Reversible'!$AY$60:$AY$66</c:f>
              <c:numCache>
                <c:formatCode>0.000\ %</c:formatCode>
                <c:ptCount val="7"/>
                <c:pt idx="0">
                  <c:v>0.749</c:v>
                </c:pt>
                <c:pt idx="1">
                  <c:v>0.83174000000000003</c:v>
                </c:pt>
                <c:pt idx="2">
                  <c:v>0.83905600000000002</c:v>
                </c:pt>
                <c:pt idx="3">
                  <c:v>0.82082000000000011</c:v>
                </c:pt>
                <c:pt idx="4">
                  <c:v>0.71628999999999998</c:v>
                </c:pt>
                <c:pt idx="5">
                  <c:v>0.45994000000000002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EDF-4896-B530-5AB0709A5AEC}"/>
            </c:ext>
          </c:extLst>
        </c:ser>
        <c:ser>
          <c:idx val="1"/>
          <c:order val="1"/>
          <c:tx>
            <c:strRef>
              <c:f>'TUB DoE - Reversible'!$AZ$59</c:f>
              <c:strCache>
                <c:ptCount val="1"/>
                <c:pt idx="0">
                  <c:v>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Reversible'!$AX$60:$AX$66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 formatCode="General">
                  <c:v>140</c:v>
                </c:pt>
                <c:pt idx="3">
                  <c:v>170</c:v>
                </c:pt>
                <c:pt idx="4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Reversible'!$AZ$60:$AZ$66</c:f>
              <c:numCache>
                <c:formatCode>0.000\ %</c:formatCode>
                <c:ptCount val="7"/>
                <c:pt idx="0">
                  <c:v>0.75422</c:v>
                </c:pt>
                <c:pt idx="1">
                  <c:v>0.82900400000000007</c:v>
                </c:pt>
                <c:pt idx="2">
                  <c:v>0.8367675</c:v>
                </c:pt>
                <c:pt idx="3">
                  <c:v>0.81629200000000002</c:v>
                </c:pt>
                <c:pt idx="4">
                  <c:v>0.70355999999999996</c:v>
                </c:pt>
                <c:pt idx="5">
                  <c:v>0.42282000000000003</c:v>
                </c:pt>
                <c:pt idx="6">
                  <c:v>-8.6639999999999995E-2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EDF-4896-B530-5AB0709A5AEC}"/>
            </c:ext>
          </c:extLst>
        </c:ser>
        <c:ser>
          <c:idx val="2"/>
          <c:order val="2"/>
          <c:tx>
            <c:strRef>
              <c:f>'TUB DoE - Reversible'!$BA$59</c:f>
              <c:strCache>
                <c:ptCount val="1"/>
                <c:pt idx="0">
                  <c:v>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Reversible'!$AX$60:$AX$66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 formatCode="General">
                  <c:v>140</c:v>
                </c:pt>
                <c:pt idx="3">
                  <c:v>170</c:v>
                </c:pt>
                <c:pt idx="4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Reversible'!$BA$60:$BA$66</c:f>
              <c:numCache>
                <c:formatCode>0.000\ %</c:formatCode>
                <c:ptCount val="7"/>
                <c:pt idx="0">
                  <c:v>0.75945600000000002</c:v>
                </c:pt>
                <c:pt idx="1">
                  <c:v>0.82627200000000001</c:v>
                </c:pt>
                <c:pt idx="2">
                  <c:v>0.83356900000000012</c:v>
                </c:pt>
                <c:pt idx="3">
                  <c:v>0.81268200000000002</c:v>
                </c:pt>
                <c:pt idx="4">
                  <c:v>0.69169500000000006</c:v>
                </c:pt>
                <c:pt idx="5">
                  <c:v>0.38644800000000001</c:v>
                </c:pt>
                <c:pt idx="6">
                  <c:v>-0.19305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EDF-4896-B530-5AB0709A5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</a:t>
                </a:r>
                <a:r>
                  <a:rPr lang="nb-NO" baseline="0"/>
                  <a:t> speed (rpm)</a:t>
                </a:r>
                <a:endParaRPr lang="nb-NO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\ 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Average Torque - Turbine mode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Reversible'!$AP$97</c:f>
              <c:strCache>
                <c:ptCount val="1"/>
                <c:pt idx="0">
                  <c:v>Turbine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Reversible'!$AO$98:$AO$105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Reversible'!$AP$98:$AP$105</c:f>
              <c:numCache>
                <c:formatCode>0.00</c:formatCode>
                <c:ptCount val="8"/>
                <c:pt idx="0">
                  <c:v>304.29035370176001</c:v>
                </c:pt>
                <c:pt idx="1">
                  <c:v>289.39826558744915</c:v>
                </c:pt>
                <c:pt idx="2">
                  <c:v>284.63724750963399</c:v>
                </c:pt>
                <c:pt idx="3">
                  <c:v>272.99753767998044</c:v>
                </c:pt>
                <c:pt idx="4">
                  <c:v>233.26629912896198</c:v>
                </c:pt>
                <c:pt idx="5">
                  <c:v>189.58636292946005</c:v>
                </c:pt>
                <c:pt idx="6">
                  <c:v>136.82071462800113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EF0-451C-963B-7A240EEB9575}"/>
            </c:ext>
          </c:extLst>
        </c:ser>
        <c:ser>
          <c:idx val="1"/>
          <c:order val="1"/>
          <c:tx>
            <c:strRef>
              <c:f>'TUB DoE - Reversible'!$AQ$97</c:f>
              <c:strCache>
                <c:ptCount val="1"/>
                <c:pt idx="0">
                  <c:v>Turbine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Reversible'!$AO$98:$AO$105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Reversible'!$AQ$98:$AQ$105</c:f>
              <c:numCache>
                <c:formatCode>0.00</c:formatCode>
                <c:ptCount val="8"/>
                <c:pt idx="0">
                  <c:v>285.84851408347157</c:v>
                </c:pt>
                <c:pt idx="1">
                  <c:v>270.60617041943294</c:v>
                </c:pt>
                <c:pt idx="2">
                  <c:v>266.22074695185751</c:v>
                </c:pt>
                <c:pt idx="3">
                  <c:v>256.14583782319153</c:v>
                </c:pt>
                <c:pt idx="4">
                  <c:v>214.45820028080576</c:v>
                </c:pt>
                <c:pt idx="5">
                  <c:v>171.38600046850749</c:v>
                </c:pt>
                <c:pt idx="6">
                  <c:v>116.00017109765314</c:v>
                </c:pt>
                <c:pt idx="7">
                  <c:v>-19.255246529408119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EF0-451C-963B-7A240EEB9575}"/>
            </c:ext>
          </c:extLst>
        </c:ser>
        <c:ser>
          <c:idx val="2"/>
          <c:order val="2"/>
          <c:tx>
            <c:strRef>
              <c:f>'TUB DoE - Reversible'!$AR$97</c:f>
              <c:strCache>
                <c:ptCount val="1"/>
                <c:pt idx="0">
                  <c:v>Turbine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Reversible'!$AO$98:$AO$105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Reversible'!$AR$98:$AR$105</c:f>
              <c:numCache>
                <c:formatCode>0.00</c:formatCode>
                <c:ptCount val="8"/>
                <c:pt idx="0">
                  <c:v>267.40667446518302</c:v>
                </c:pt>
                <c:pt idx="1">
                  <c:v>253.31744286485804</c:v>
                </c:pt>
                <c:pt idx="2">
                  <c:v>248.00887417805632</c:v>
                </c:pt>
                <c:pt idx="3">
                  <c:v>235.92379799504485</c:v>
                </c:pt>
                <c:pt idx="4">
                  <c:v>197.25567084651652</c:v>
                </c:pt>
                <c:pt idx="5">
                  <c:v>152.77382459230469</c:v>
                </c:pt>
                <c:pt idx="6">
                  <c:v>98.153990928783415</c:v>
                </c:pt>
                <c:pt idx="7">
                  <c:v>-38.510493058816238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EF0-451C-963B-7A240EEB9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 speed</a:t>
                </a:r>
                <a:r>
                  <a:rPr lang="nb-NO" baseline="0"/>
                  <a:t> (rpm)</a:t>
                </a:r>
                <a:endParaRPr lang="nb-NO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Average Torque - Pump mode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Reversible'!$AP$107</c:f>
              <c:strCache>
                <c:ptCount val="1"/>
                <c:pt idx="0">
                  <c:v>Pump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Reversible'!$AO$108:$AO$114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Reversible'!$AP$108:$AP$114</c:f>
              <c:numCache>
                <c:formatCode>0.00</c:formatCode>
                <c:ptCount val="7"/>
                <c:pt idx="0">
                  <c:v>312.2818175363517</c:v>
                </c:pt>
                <c:pt idx="1">
                  <c:v>325.22852704113325</c:v>
                </c:pt>
                <c:pt idx="2">
                  <c:v>332.11089339190221</c:v>
                </c:pt>
                <c:pt idx="3">
                  <c:v>342.08950709281504</c:v>
                </c:pt>
                <c:pt idx="4">
                  <c:v>384.18982403245951</c:v>
                </c:pt>
                <c:pt idx="5">
                  <c:v>481.10327371911268</c:v>
                </c:pt>
                <c:pt idx="6">
                  <c:v>616.1678889410598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6E0-4740-8B8A-909506AF80BA}"/>
            </c:ext>
          </c:extLst>
        </c:ser>
        <c:ser>
          <c:idx val="1"/>
          <c:order val="1"/>
          <c:tx>
            <c:strRef>
              <c:f>'TUB DoE - Reversible'!$AQ$107</c:f>
              <c:strCache>
                <c:ptCount val="1"/>
                <c:pt idx="0">
                  <c:v>Pump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Reversible'!$AO$108:$AO$114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Reversible'!$AQ$108:$AQ$114</c:f>
              <c:numCache>
                <c:formatCode>0.00</c:formatCode>
                <c:ptCount val="7"/>
                <c:pt idx="0">
                  <c:v>294.45470590533949</c:v>
                </c:pt>
                <c:pt idx="1">
                  <c:v>307.18811567983778</c:v>
                </c:pt>
                <c:pt idx="2">
                  <c:v>314.30827618605156</c:v>
                </c:pt>
                <c:pt idx="3">
                  <c:v>325.23780723602607</c:v>
                </c:pt>
                <c:pt idx="4">
                  <c:v>365.84045930255098</c:v>
                </c:pt>
                <c:pt idx="5">
                  <c:v>464.00068439061255</c:v>
                </c:pt>
                <c:pt idx="6">
                  <c:v>598.56309211417238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6E0-4740-8B8A-909506AF80BA}"/>
            </c:ext>
          </c:extLst>
        </c:ser>
        <c:ser>
          <c:idx val="2"/>
          <c:order val="2"/>
          <c:tx>
            <c:strRef>
              <c:f>'TUB DoE - Reversible'!$AR$107</c:f>
              <c:strCache>
                <c:ptCount val="1"/>
                <c:pt idx="0">
                  <c:v>Pump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Reversible'!$AO$108:$AO$114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Reversible'!$AR$108:$AR$114</c:f>
              <c:numCache>
                <c:formatCode>0.00</c:formatCode>
                <c:ptCount val="7"/>
                <c:pt idx="0">
                  <c:v>276.012866287051</c:v>
                </c:pt>
                <c:pt idx="1">
                  <c:v>288.89714304963536</c:v>
                </c:pt>
                <c:pt idx="2">
                  <c:v>296.09640341225048</c:v>
                </c:pt>
                <c:pt idx="3">
                  <c:v>306.70093739355832</c:v>
                </c:pt>
                <c:pt idx="4">
                  <c:v>347.49109457264251</c:v>
                </c:pt>
                <c:pt idx="5">
                  <c:v>446.1545042217428</c:v>
                </c:pt>
                <c:pt idx="6">
                  <c:v>580.40814538644474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56E0-4740-8B8A-909506AF8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Torque max (from max power) - Turbine mode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Reversible'!$AE$83</c:f>
              <c:strCache>
                <c:ptCount val="1"/>
                <c:pt idx="0">
                  <c:v>Turbine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Reversible'!$AD$84:$AD$91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Reversible'!$AE$84:$AE$91</c:f>
              <c:numCache>
                <c:formatCode>0.00</c:formatCode>
                <c:ptCount val="8"/>
                <c:pt idx="0">
                  <c:v>337.0000044364964</c:v>
                </c:pt>
                <c:pt idx="1">
                  <c:v>320.83123554540435</c:v>
                </c:pt>
                <c:pt idx="2">
                  <c:v>316</c:v>
                </c:pt>
                <c:pt idx="3">
                  <c:v>309.64799774103852</c:v>
                </c:pt>
                <c:pt idx="4">
                  <c:v>284.12977060537531</c:v>
                </c:pt>
                <c:pt idx="5">
                  <c:v>270.73151066486287</c:v>
                </c:pt>
                <c:pt idx="6">
                  <c:v>250.19653121401041</c:v>
                </c:pt>
                <c:pt idx="7">
                  <c:v>239.14466039624043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EC7-49FC-9452-B0760A345230}"/>
            </c:ext>
          </c:extLst>
        </c:ser>
        <c:ser>
          <c:idx val="1"/>
          <c:order val="1"/>
          <c:tx>
            <c:strRef>
              <c:f>'TUB DoE - Reversible'!$AF$83</c:f>
              <c:strCache>
                <c:ptCount val="1"/>
                <c:pt idx="0">
                  <c:v>Turbine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Reversible'!$AD$84:$AD$91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Reversible'!$AF$84:$AF$91</c:f>
              <c:numCache>
                <c:formatCode>0.00</c:formatCode>
                <c:ptCount val="8"/>
                <c:pt idx="0">
                  <c:v>316.98951491771066</c:v>
                </c:pt>
                <c:pt idx="1">
                  <c:v>304.84872862859726</c:v>
                </c:pt>
                <c:pt idx="2">
                  <c:v>296.05469442084444</c:v>
                </c:pt>
                <c:pt idx="3">
                  <c:v>289.25744091432392</c:v>
                </c:pt>
                <c:pt idx="4">
                  <c:v>264.91276615668744</c:v>
                </c:pt>
                <c:pt idx="5">
                  <c:v>251.65380658011628</c:v>
                </c:pt>
                <c:pt idx="6">
                  <c:v>239.66006059186435</c:v>
                </c:pt>
                <c:pt idx="7">
                  <c:v>220.61011023693302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EC7-49FC-9452-B0760A345230}"/>
            </c:ext>
          </c:extLst>
        </c:ser>
        <c:ser>
          <c:idx val="2"/>
          <c:order val="2"/>
          <c:tx>
            <c:strRef>
              <c:f>'TUB DoE - Reversible'!$AG$83</c:f>
              <c:strCache>
                <c:ptCount val="1"/>
                <c:pt idx="0">
                  <c:v>Turbine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Reversible'!$AD$84:$AD$91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Reversible'!$AG$84:$AG$91</c:f>
              <c:numCache>
                <c:formatCode>0.00</c:formatCode>
                <c:ptCount val="8"/>
                <c:pt idx="0">
                  <c:v>296.9298444723043</c:v>
                </c:pt>
                <c:pt idx="1">
                  <c:v>278.91729701096966</c:v>
                </c:pt>
                <c:pt idx="2">
                  <c:v>275.3872882393398</c:v>
                </c:pt>
                <c:pt idx="3">
                  <c:v>269.89483777887341</c:v>
                </c:pt>
                <c:pt idx="4">
                  <c:v>245.91348567014936</c:v>
                </c:pt>
                <c:pt idx="5">
                  <c:v>232.76410427189694</c:v>
                </c:pt>
                <c:pt idx="6">
                  <c:v>220.7450123422208</c:v>
                </c:pt>
                <c:pt idx="7">
                  <c:v>201.35486370752491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EC7-49FC-9452-B0760A345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  <c:max val="5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Torque max (from max power) - Pump mode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Reversible'!$AE$93</c:f>
              <c:strCache>
                <c:ptCount val="1"/>
                <c:pt idx="0">
                  <c:v>Pump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Reversible'!$AD$94:$AD$100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Reversible'!$AE$94:$AE$100</c:f>
              <c:numCache>
                <c:formatCode>0.00</c:formatCode>
                <c:ptCount val="7"/>
                <c:pt idx="0">
                  <c:v>349.29523609166426</c:v>
                </c:pt>
                <c:pt idx="1">
                  <c:v>372.87490193645419</c:v>
                </c:pt>
                <c:pt idx="2">
                  <c:v>391.39156240954486</c:v>
                </c:pt>
                <c:pt idx="3">
                  <c:v>404.70843663318476</c:v>
                </c:pt>
                <c:pt idx="4">
                  <c:v>456.6931993428766</c:v>
                </c:pt>
                <c:pt idx="5">
                  <c:v>621.99405318163008</c:v>
                </c:pt>
                <c:pt idx="6">
                  <c:v>852.56730133210749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2B6-4154-85A6-C300E2543636}"/>
            </c:ext>
          </c:extLst>
        </c:ser>
        <c:ser>
          <c:idx val="1"/>
          <c:order val="1"/>
          <c:tx>
            <c:strRef>
              <c:f>'TUB DoE - Reversible'!$AF$93</c:f>
              <c:strCache>
                <c:ptCount val="1"/>
                <c:pt idx="0">
                  <c:v>Pump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Reversible'!$AD$94:$AD$100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Reversible'!$AF$94:$AF$100</c:f>
              <c:numCache>
                <c:formatCode>0.00</c:formatCode>
                <c:ptCount val="7"/>
                <c:pt idx="0">
                  <c:v>329.21097518294755</c:v>
                </c:pt>
                <c:pt idx="1">
                  <c:v>352.8716385625886</c:v>
                </c:pt>
                <c:pt idx="2">
                  <c:v>372.5044179486253</c:v>
                </c:pt>
                <c:pt idx="3">
                  <c:v>384.7223206030331</c:v>
                </c:pt>
                <c:pt idx="4">
                  <c:v>435.16144540186031</c:v>
                </c:pt>
                <c:pt idx="5">
                  <c:v>601.32292649496208</c:v>
                </c:pt>
                <c:pt idx="6">
                  <c:v>831.22148517950654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2B6-4154-85A6-C300E2543636}"/>
            </c:ext>
          </c:extLst>
        </c:ser>
        <c:ser>
          <c:idx val="2"/>
          <c:order val="2"/>
          <c:tx>
            <c:strRef>
              <c:f>'TUB DoE - Reversible'!$AG$93</c:f>
              <c:strCache>
                <c:ptCount val="1"/>
                <c:pt idx="0">
                  <c:v>Pump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Reversible'!$AD$94:$AD$100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Reversible'!$AG$94:$AG$100</c:f>
              <c:numCache>
                <c:formatCode>0.00</c:formatCode>
                <c:ptCount val="7"/>
                <c:pt idx="0">
                  <c:v>308.52424792312763</c:v>
                </c:pt>
                <c:pt idx="1">
                  <c:v>332.51655899873037</c:v>
                </c:pt>
                <c:pt idx="2">
                  <c:v>352.77829957340685</c:v>
                </c:pt>
                <c:pt idx="3">
                  <c:v>366.33711605927641</c:v>
                </c:pt>
                <c:pt idx="4">
                  <c:v>417.67477349446756</c:v>
                </c:pt>
                <c:pt idx="5">
                  <c:v>580.42856949850307</c:v>
                </c:pt>
                <c:pt idx="6">
                  <c:v>812.57140354102262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2B6-4154-85A6-C300E2543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 vs eta - First estimation'!$C$17</c:f>
              <c:strCache>
                <c:ptCount val="1"/>
                <c:pt idx="0">
                  <c:v>Avg Total Power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 vs eta - First estimation'!$A$18:$A$24</c:f>
              <c:numCache>
                <c:formatCode>General</c:formatCode>
                <c:ptCount val="7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</c:numCache>
            </c:numRef>
          </c:xVal>
          <c:yVal>
            <c:numRef>
              <c:f>'w vs eta - First estimation'!$C$18:$C$24</c:f>
              <c:numCache>
                <c:formatCode>General</c:formatCode>
                <c:ptCount val="7"/>
                <c:pt idx="0">
                  <c:v>0</c:v>
                </c:pt>
                <c:pt idx="1">
                  <c:v>1500</c:v>
                </c:pt>
                <c:pt idx="2">
                  <c:v>2892</c:v>
                </c:pt>
                <c:pt idx="3">
                  <c:v>5379</c:v>
                </c:pt>
                <c:pt idx="4">
                  <c:v>7050</c:v>
                </c:pt>
                <c:pt idx="5">
                  <c:v>7452</c:v>
                </c:pt>
                <c:pt idx="6">
                  <c:v>6248.9999999999991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81-4568-8AA1-12E8B9CB5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453135"/>
        <c:axId val="49133999"/>
      </c:scatterChart>
      <c:valAx>
        <c:axId val="142453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133999"/>
        <c:crosses val="autoZero"/>
        <c:crossBetween val="midCat"/>
      </c:valAx>
      <c:valAx>
        <c:axId val="49133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42453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Torques - Turbine mode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strRef>
              <c:f>'TUB DoE - Reversible'!$AP$97</c:f>
              <c:strCache>
                <c:ptCount val="1"/>
                <c:pt idx="0">
                  <c:v>Turbine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'TUB DoE - Reversible'!$AO$98:$AO$105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Reversible'!$AP$98:$AP$105</c:f>
              <c:numCache>
                <c:formatCode>0.00</c:formatCode>
                <c:ptCount val="8"/>
                <c:pt idx="0">
                  <c:v>304.29035370176001</c:v>
                </c:pt>
                <c:pt idx="1">
                  <c:v>289.39826558744915</c:v>
                </c:pt>
                <c:pt idx="2">
                  <c:v>284.63724750963399</c:v>
                </c:pt>
                <c:pt idx="3">
                  <c:v>272.99753767998044</c:v>
                </c:pt>
                <c:pt idx="4">
                  <c:v>233.26629912896198</c:v>
                </c:pt>
                <c:pt idx="5">
                  <c:v>189.58636292946005</c:v>
                </c:pt>
                <c:pt idx="6">
                  <c:v>136.82071462800113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B96-4434-9356-D6538A9392A2}"/>
            </c:ext>
          </c:extLst>
        </c:ser>
        <c:ser>
          <c:idx val="4"/>
          <c:order val="1"/>
          <c:tx>
            <c:strRef>
              <c:f>'TUB DoE - Reversible'!$AQ$97</c:f>
              <c:strCache>
                <c:ptCount val="1"/>
                <c:pt idx="0">
                  <c:v>Turbine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xVal>
            <c:numRef>
              <c:f>'TUB DoE - Reversible'!$AO$98:$AO$105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Reversible'!$AQ$98:$AQ$105</c:f>
              <c:numCache>
                <c:formatCode>0.00</c:formatCode>
                <c:ptCount val="8"/>
                <c:pt idx="0">
                  <c:v>285.84851408347157</c:v>
                </c:pt>
                <c:pt idx="1">
                  <c:v>270.60617041943294</c:v>
                </c:pt>
                <c:pt idx="2">
                  <c:v>266.22074695185751</c:v>
                </c:pt>
                <c:pt idx="3">
                  <c:v>256.14583782319153</c:v>
                </c:pt>
                <c:pt idx="4">
                  <c:v>214.45820028080576</c:v>
                </c:pt>
                <c:pt idx="5">
                  <c:v>171.38600046850749</c:v>
                </c:pt>
                <c:pt idx="6">
                  <c:v>116.00017109765314</c:v>
                </c:pt>
                <c:pt idx="7">
                  <c:v>-19.255246529408119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B96-4434-9356-D6538A9392A2}"/>
            </c:ext>
          </c:extLst>
        </c:ser>
        <c:ser>
          <c:idx val="5"/>
          <c:order val="2"/>
          <c:tx>
            <c:strRef>
              <c:f>'TUB DoE - Reversible'!$AR$97</c:f>
              <c:strCache>
                <c:ptCount val="1"/>
                <c:pt idx="0">
                  <c:v>Turbine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xVal>
            <c:numRef>
              <c:f>'TUB DoE - Reversible'!$AO$98:$AO$105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Reversible'!$AR$98:$AR$105</c:f>
              <c:numCache>
                <c:formatCode>0.00</c:formatCode>
                <c:ptCount val="8"/>
                <c:pt idx="0">
                  <c:v>267.40667446518302</c:v>
                </c:pt>
                <c:pt idx="1">
                  <c:v>253.31744286485804</c:v>
                </c:pt>
                <c:pt idx="2">
                  <c:v>248.00887417805632</c:v>
                </c:pt>
                <c:pt idx="3">
                  <c:v>235.92379799504485</c:v>
                </c:pt>
                <c:pt idx="4">
                  <c:v>197.25567084651652</c:v>
                </c:pt>
                <c:pt idx="5">
                  <c:v>152.77382459230469</c:v>
                </c:pt>
                <c:pt idx="6">
                  <c:v>98.153990928783415</c:v>
                </c:pt>
                <c:pt idx="7">
                  <c:v>-38.510493058816238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6B96-4434-9356-D6538A9392A2}"/>
            </c:ext>
          </c:extLst>
        </c:ser>
        <c:ser>
          <c:idx val="0"/>
          <c:order val="3"/>
          <c:tx>
            <c:strRef>
              <c:f>'TUB DoE - Reversible'!$AE$83</c:f>
              <c:strCache>
                <c:ptCount val="1"/>
                <c:pt idx="0">
                  <c:v>Turbine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Reversible'!$AD$84:$AD$91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Reversible'!$AE$84:$AE$91</c:f>
              <c:numCache>
                <c:formatCode>0.00</c:formatCode>
                <c:ptCount val="8"/>
                <c:pt idx="0">
                  <c:v>337.0000044364964</c:v>
                </c:pt>
                <c:pt idx="1">
                  <c:v>320.83123554540435</c:v>
                </c:pt>
                <c:pt idx="2">
                  <c:v>316</c:v>
                </c:pt>
                <c:pt idx="3">
                  <c:v>309.64799774103852</c:v>
                </c:pt>
                <c:pt idx="4">
                  <c:v>284.12977060537531</c:v>
                </c:pt>
                <c:pt idx="5">
                  <c:v>270.73151066486287</c:v>
                </c:pt>
                <c:pt idx="6">
                  <c:v>250.19653121401041</c:v>
                </c:pt>
                <c:pt idx="7">
                  <c:v>239.14466039624043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B96-4434-9356-D6538A9392A2}"/>
            </c:ext>
          </c:extLst>
        </c:ser>
        <c:ser>
          <c:idx val="1"/>
          <c:order val="4"/>
          <c:tx>
            <c:strRef>
              <c:f>'TUB DoE - Reversible'!$AF$83</c:f>
              <c:strCache>
                <c:ptCount val="1"/>
                <c:pt idx="0">
                  <c:v>Turbine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Reversible'!$AD$84:$AD$91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Reversible'!$AF$84:$AF$91</c:f>
              <c:numCache>
                <c:formatCode>0.00</c:formatCode>
                <c:ptCount val="8"/>
                <c:pt idx="0">
                  <c:v>316.98951491771066</c:v>
                </c:pt>
                <c:pt idx="1">
                  <c:v>304.84872862859726</c:v>
                </c:pt>
                <c:pt idx="2">
                  <c:v>296.05469442084444</c:v>
                </c:pt>
                <c:pt idx="3">
                  <c:v>289.25744091432392</c:v>
                </c:pt>
                <c:pt idx="4">
                  <c:v>264.91276615668744</c:v>
                </c:pt>
                <c:pt idx="5">
                  <c:v>251.65380658011628</c:v>
                </c:pt>
                <c:pt idx="6">
                  <c:v>239.66006059186435</c:v>
                </c:pt>
                <c:pt idx="7">
                  <c:v>220.61011023693302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B96-4434-9356-D6538A9392A2}"/>
            </c:ext>
          </c:extLst>
        </c:ser>
        <c:ser>
          <c:idx val="2"/>
          <c:order val="5"/>
          <c:tx>
            <c:strRef>
              <c:f>'TUB DoE - Reversible'!$AG$83</c:f>
              <c:strCache>
                <c:ptCount val="1"/>
                <c:pt idx="0">
                  <c:v>Turbine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Reversible'!$AD$84:$AD$91</c:f>
              <c:numCache>
                <c:formatCode>0.0</c:formatCode>
                <c:ptCount val="8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>
                  <c:v>320</c:v>
                </c:pt>
                <c:pt idx="6" formatCode="General">
                  <c:v>385</c:v>
                </c:pt>
                <c:pt idx="7" formatCode="General">
                  <c:v>521</c:v>
                </c:pt>
              </c:numCache>
            </c:numRef>
          </c:xVal>
          <c:yVal>
            <c:numRef>
              <c:f>'TUB DoE - Reversible'!$AG$84:$AG$91</c:f>
              <c:numCache>
                <c:formatCode>0.00</c:formatCode>
                <c:ptCount val="8"/>
                <c:pt idx="0">
                  <c:v>296.9298444723043</c:v>
                </c:pt>
                <c:pt idx="1">
                  <c:v>278.91729701096966</c:v>
                </c:pt>
                <c:pt idx="2">
                  <c:v>275.3872882393398</c:v>
                </c:pt>
                <c:pt idx="3">
                  <c:v>269.89483777887341</c:v>
                </c:pt>
                <c:pt idx="4">
                  <c:v>245.91348567014936</c:v>
                </c:pt>
                <c:pt idx="5">
                  <c:v>232.76410427189694</c:v>
                </c:pt>
                <c:pt idx="6">
                  <c:v>220.7450123422208</c:v>
                </c:pt>
                <c:pt idx="7">
                  <c:v>201.35486370752491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B96-4434-9356-D6538A939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  <c:max val="5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Torques - Pump mode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strRef>
              <c:f>'TUB DoE - Reversible'!$AP$107</c:f>
              <c:strCache>
                <c:ptCount val="1"/>
                <c:pt idx="0">
                  <c:v>Pump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'TUB DoE - Reversible'!$AO$108:$AO$114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Reversible'!$AP$108:$AP$114</c:f>
              <c:numCache>
                <c:formatCode>0.00</c:formatCode>
                <c:ptCount val="7"/>
                <c:pt idx="0">
                  <c:v>312.2818175363517</c:v>
                </c:pt>
                <c:pt idx="1">
                  <c:v>325.22852704113325</c:v>
                </c:pt>
                <c:pt idx="2">
                  <c:v>332.11089339190221</c:v>
                </c:pt>
                <c:pt idx="3">
                  <c:v>342.08950709281504</c:v>
                </c:pt>
                <c:pt idx="4">
                  <c:v>384.18982403245951</c:v>
                </c:pt>
                <c:pt idx="5">
                  <c:v>481.10327371911268</c:v>
                </c:pt>
                <c:pt idx="6">
                  <c:v>616.1678889410598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EAF-455F-87C0-A60D56B25E0E}"/>
            </c:ext>
          </c:extLst>
        </c:ser>
        <c:ser>
          <c:idx val="4"/>
          <c:order val="1"/>
          <c:tx>
            <c:strRef>
              <c:f>'TUB DoE - Reversible'!$AQ$107</c:f>
              <c:strCache>
                <c:ptCount val="1"/>
                <c:pt idx="0">
                  <c:v>Pump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xVal>
            <c:numRef>
              <c:f>'TUB DoE - Reversible'!$AO$108:$AO$114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Reversible'!$AQ$108:$AQ$114</c:f>
              <c:numCache>
                <c:formatCode>0.00</c:formatCode>
                <c:ptCount val="7"/>
                <c:pt idx="0">
                  <c:v>294.45470590533949</c:v>
                </c:pt>
                <c:pt idx="1">
                  <c:v>307.18811567983778</c:v>
                </c:pt>
                <c:pt idx="2">
                  <c:v>314.30827618605156</c:v>
                </c:pt>
                <c:pt idx="3">
                  <c:v>325.23780723602607</c:v>
                </c:pt>
                <c:pt idx="4">
                  <c:v>365.84045930255098</c:v>
                </c:pt>
                <c:pt idx="5">
                  <c:v>464.00068439061255</c:v>
                </c:pt>
                <c:pt idx="6">
                  <c:v>598.56309211417238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EAF-455F-87C0-A60D56B25E0E}"/>
            </c:ext>
          </c:extLst>
        </c:ser>
        <c:ser>
          <c:idx val="5"/>
          <c:order val="2"/>
          <c:tx>
            <c:strRef>
              <c:f>'TUB DoE - Reversible'!$AR$107</c:f>
              <c:strCache>
                <c:ptCount val="1"/>
                <c:pt idx="0">
                  <c:v>Pump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xVal>
            <c:numRef>
              <c:f>'TUB DoE - Reversible'!$AO$108:$AO$114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Reversible'!$AR$108:$AR$114</c:f>
              <c:numCache>
                <c:formatCode>0.00</c:formatCode>
                <c:ptCount val="7"/>
                <c:pt idx="0">
                  <c:v>276.012866287051</c:v>
                </c:pt>
                <c:pt idx="1">
                  <c:v>288.89714304963536</c:v>
                </c:pt>
                <c:pt idx="2">
                  <c:v>296.09640341225048</c:v>
                </c:pt>
                <c:pt idx="3">
                  <c:v>306.70093739355832</c:v>
                </c:pt>
                <c:pt idx="4">
                  <c:v>347.49109457264251</c:v>
                </c:pt>
                <c:pt idx="5">
                  <c:v>446.1545042217428</c:v>
                </c:pt>
                <c:pt idx="6">
                  <c:v>580.40814538644474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EAF-455F-87C0-A60D56B25E0E}"/>
            </c:ext>
          </c:extLst>
        </c:ser>
        <c:ser>
          <c:idx val="0"/>
          <c:order val="3"/>
          <c:tx>
            <c:strRef>
              <c:f>'TUB DoE - Reversible'!$AE$93</c:f>
              <c:strCache>
                <c:ptCount val="1"/>
                <c:pt idx="0">
                  <c:v>Pump for H total = 8.45m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Reversible'!$AD$94:$AD$100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Reversible'!$AE$94:$AE$100</c:f>
              <c:numCache>
                <c:formatCode>0.00</c:formatCode>
                <c:ptCount val="7"/>
                <c:pt idx="0">
                  <c:v>349.29523609166426</c:v>
                </c:pt>
                <c:pt idx="1">
                  <c:v>372.87490193645419</c:v>
                </c:pt>
                <c:pt idx="2">
                  <c:v>391.39156240954486</c:v>
                </c:pt>
                <c:pt idx="3">
                  <c:v>404.70843663318476</c:v>
                </c:pt>
                <c:pt idx="4">
                  <c:v>456.6931993428766</c:v>
                </c:pt>
                <c:pt idx="5">
                  <c:v>621.99405318163008</c:v>
                </c:pt>
                <c:pt idx="6">
                  <c:v>852.56730133210749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EAF-455F-87C0-A60D56B25E0E}"/>
            </c:ext>
          </c:extLst>
        </c:ser>
        <c:ser>
          <c:idx val="1"/>
          <c:order val="4"/>
          <c:tx>
            <c:strRef>
              <c:f>'TUB DoE - Reversible'!$AF$93</c:f>
              <c:strCache>
                <c:ptCount val="1"/>
                <c:pt idx="0">
                  <c:v>Pump for H total = 7.95m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Reversible'!$AD$94:$AD$100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Reversible'!$AF$94:$AF$100</c:f>
              <c:numCache>
                <c:formatCode>0.00</c:formatCode>
                <c:ptCount val="7"/>
                <c:pt idx="0">
                  <c:v>329.21097518294755</c:v>
                </c:pt>
                <c:pt idx="1">
                  <c:v>352.8716385625886</c:v>
                </c:pt>
                <c:pt idx="2">
                  <c:v>372.5044179486253</c:v>
                </c:pt>
                <c:pt idx="3">
                  <c:v>384.7223206030331</c:v>
                </c:pt>
                <c:pt idx="4">
                  <c:v>435.16144540186031</c:v>
                </c:pt>
                <c:pt idx="5">
                  <c:v>601.32292649496208</c:v>
                </c:pt>
                <c:pt idx="6">
                  <c:v>831.22148517950654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EAF-455F-87C0-A60D56B25E0E}"/>
            </c:ext>
          </c:extLst>
        </c:ser>
        <c:ser>
          <c:idx val="2"/>
          <c:order val="5"/>
          <c:tx>
            <c:strRef>
              <c:f>'TUB DoE - Reversible'!$AG$93</c:f>
              <c:strCache>
                <c:ptCount val="1"/>
                <c:pt idx="0">
                  <c:v>Pump for H total = 7.45m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Reversible'!$AD$94:$AD$100</c:f>
              <c:numCache>
                <c:formatCode>0.0</c:formatCode>
                <c:ptCount val="7"/>
                <c:pt idx="0">
                  <c:v>46.602546735302091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 formatCode="General">
                  <c:v>250</c:v>
                </c:pt>
                <c:pt idx="5" formatCode="General">
                  <c:v>385</c:v>
                </c:pt>
                <c:pt idx="6" formatCode="General">
                  <c:v>521</c:v>
                </c:pt>
              </c:numCache>
            </c:numRef>
          </c:xVal>
          <c:yVal>
            <c:numRef>
              <c:f>'TUB DoE - Reversible'!$AG$94:$AG$100</c:f>
              <c:numCache>
                <c:formatCode>0.00</c:formatCode>
                <c:ptCount val="7"/>
                <c:pt idx="0">
                  <c:v>308.52424792312763</c:v>
                </c:pt>
                <c:pt idx="1">
                  <c:v>332.51655899873037</c:v>
                </c:pt>
                <c:pt idx="2">
                  <c:v>352.77829957340685</c:v>
                </c:pt>
                <c:pt idx="3">
                  <c:v>366.33711605927641</c:v>
                </c:pt>
                <c:pt idx="4">
                  <c:v>417.67477349446756</c:v>
                </c:pt>
                <c:pt idx="5">
                  <c:v>580.42856949850307</c:v>
                </c:pt>
                <c:pt idx="6">
                  <c:v>812.57140354102262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EAF-455F-87C0-A60D56B25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TUB Efficiency</a:t>
            </a:r>
            <a:r>
              <a:rPr lang="en-US" sz="1600" b="1" baseline="0"/>
              <a:t> and Power vs Rotation speed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'w vs eta - First estimation'!$C$17</c:f>
              <c:strCache>
                <c:ptCount val="1"/>
                <c:pt idx="0">
                  <c:v>Avg Total Power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 vs eta - First estimation'!$A$18:$A$25</c:f>
              <c:numCache>
                <c:formatCode>General</c:formatCode>
                <c:ptCount val="8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</c:numCache>
            </c:numRef>
          </c:xVal>
          <c:yVal>
            <c:numRef>
              <c:f>'w vs eta - First estimation'!$C$18:$C$25</c:f>
              <c:numCache>
                <c:formatCode>General</c:formatCode>
                <c:ptCount val="8"/>
                <c:pt idx="0">
                  <c:v>0</c:v>
                </c:pt>
                <c:pt idx="1">
                  <c:v>1500</c:v>
                </c:pt>
                <c:pt idx="2">
                  <c:v>2892</c:v>
                </c:pt>
                <c:pt idx="3">
                  <c:v>5379</c:v>
                </c:pt>
                <c:pt idx="4">
                  <c:v>7050</c:v>
                </c:pt>
                <c:pt idx="5">
                  <c:v>7452</c:v>
                </c:pt>
                <c:pt idx="6">
                  <c:v>6248.9999999999991</c:v>
                </c:pt>
                <c:pt idx="7">
                  <c:v>3192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BD-4834-9552-F8F8B6A91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453135"/>
        <c:axId val="49133999"/>
      </c:scatterChart>
      <c:scatterChart>
        <c:scatterStyle val="lineMarker"/>
        <c:varyColors val="0"/>
        <c:ser>
          <c:idx val="1"/>
          <c:order val="0"/>
          <c:tx>
            <c:strRef>
              <c:f>'w vs eta - First estimation'!$C$7</c:f>
              <c:strCache>
                <c:ptCount val="1"/>
                <c:pt idx="0">
                  <c:v>Efficiency</c:v>
                </c:pt>
              </c:strCache>
            </c:strRef>
          </c:tx>
          <c:xVal>
            <c:numRef>
              <c:f>'w vs eta - First estimation'!$A$8:$A$15</c:f>
              <c:numCache>
                <c:formatCode>General</c:formatCode>
                <c:ptCount val="8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</c:numCache>
            </c:numRef>
          </c:xVal>
          <c:yVal>
            <c:numRef>
              <c:f>'w vs eta - First estimation'!$C$8:$C$15</c:f>
              <c:numCache>
                <c:formatCode>General</c:formatCode>
                <c:ptCount val="8"/>
                <c:pt idx="0">
                  <c:v>0</c:v>
                </c:pt>
                <c:pt idx="1">
                  <c:v>77.739999999999995</c:v>
                </c:pt>
                <c:pt idx="2">
                  <c:v>85.36</c:v>
                </c:pt>
                <c:pt idx="3">
                  <c:v>85.399999999999991</c:v>
                </c:pt>
                <c:pt idx="4">
                  <c:v>76.83</c:v>
                </c:pt>
                <c:pt idx="5">
                  <c:v>62.2</c:v>
                </c:pt>
                <c:pt idx="6">
                  <c:v>42.699999999999996</c:v>
                </c:pt>
                <c:pt idx="7">
                  <c:v>18.759999999999998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BD-4834-9552-F8F8B6A91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825503"/>
        <c:axId val="238816383"/>
      </c:scatterChart>
      <c:valAx>
        <c:axId val="142453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Rotation</a:t>
                </a:r>
                <a:r>
                  <a:rPr lang="en-US" baseline="0"/>
                  <a:t> speed [rpm]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133999"/>
        <c:crosses val="autoZero"/>
        <c:crossBetween val="midCat"/>
      </c:valAx>
      <c:valAx>
        <c:axId val="49133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Power [W]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42453135"/>
        <c:crosses val="autoZero"/>
        <c:crossBetween val="midCat"/>
      </c:valAx>
      <c:valAx>
        <c:axId val="238816383"/>
        <c:scaling>
          <c:orientation val="minMax"/>
          <c:max val="10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Efficiency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8825503"/>
        <c:crosses val="max"/>
        <c:crossBetween val="midCat"/>
      </c:valAx>
      <c:valAx>
        <c:axId val="2388255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8816383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TUB Average</a:t>
            </a:r>
            <a:r>
              <a:rPr lang="en-US" sz="1600" b="1" baseline="0"/>
              <a:t> flow rate</a:t>
            </a:r>
            <a:r>
              <a:rPr lang="en-US" sz="1600" b="1"/>
              <a:t> </a:t>
            </a:r>
            <a:r>
              <a:rPr lang="en-US" sz="1600" b="1" baseline="0"/>
              <a:t>vs Rotation speed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'w vs eta - First estimation'!$F$17</c:f>
              <c:strCache>
                <c:ptCount val="1"/>
                <c:pt idx="0">
                  <c:v>Avg Mass Flow kg/s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'w vs eta - First estimation'!$A$18:$A$25</c:f>
              <c:numCache>
                <c:formatCode>General</c:formatCode>
                <c:ptCount val="8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</c:numCache>
            </c:numRef>
          </c:xVal>
          <c:yVal>
            <c:numRef>
              <c:f>'w vs eta - First estimation'!$F$18:$F$25</c:f>
              <c:numCache>
                <c:formatCode>General</c:formatCode>
                <c:ptCount val="8"/>
                <c:pt idx="0">
                  <c:v>7.78</c:v>
                </c:pt>
                <c:pt idx="1">
                  <c:v>25.500000000000004</c:v>
                </c:pt>
                <c:pt idx="2">
                  <c:v>44.099999999999994</c:v>
                </c:pt>
                <c:pt idx="3">
                  <c:v>82.02</c:v>
                </c:pt>
                <c:pt idx="4">
                  <c:v>119.61</c:v>
                </c:pt>
                <c:pt idx="5">
                  <c:v>156.57000000000002</c:v>
                </c:pt>
                <c:pt idx="6">
                  <c:v>191.91000000000003</c:v>
                </c:pt>
                <c:pt idx="7">
                  <c:v>228.24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10-40C7-B7F5-ED2B9D9E7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453615"/>
        <c:axId val="142460815"/>
      </c:scatterChart>
      <c:valAx>
        <c:axId val="142453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Rotation speed [rpm]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42460815"/>
        <c:crosses val="autoZero"/>
        <c:crossBetween val="midCat"/>
      </c:valAx>
      <c:valAx>
        <c:axId val="142460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Flow</a:t>
                </a:r>
                <a:r>
                  <a:rPr lang="en-US" b="1" baseline="0"/>
                  <a:t> rate [kg/s]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42453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'w vs eta - First estimation'!$D$17</c:f>
              <c:strCache>
                <c:ptCount val="1"/>
                <c:pt idx="0">
                  <c:v>Avg Total torque /N.m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 vs eta - First estimation'!$A$18:$A$25</c:f>
              <c:numCache>
                <c:formatCode>General</c:formatCode>
                <c:ptCount val="8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</c:numCache>
            </c:numRef>
          </c:xVal>
          <c:yVal>
            <c:numRef>
              <c:f>'w vs eta - First estimation'!$D$18:$D$25</c:f>
              <c:numCache>
                <c:formatCode>General</c:formatCode>
                <c:ptCount val="8"/>
                <c:pt idx="1">
                  <c:v>286.47889756541161</c:v>
                </c:pt>
                <c:pt idx="2">
                  <c:v>276.16565725305679</c:v>
                </c:pt>
                <c:pt idx="3">
                  <c:v>256.82833166739152</c:v>
                </c:pt>
                <c:pt idx="4">
                  <c:v>224.40846975957243</c:v>
                </c:pt>
                <c:pt idx="5">
                  <c:v>177.9033953881206</c:v>
                </c:pt>
                <c:pt idx="6">
                  <c:v>119.34710872575047</c:v>
                </c:pt>
                <c:pt idx="7">
                  <c:v>50.802257834932995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4C-4CBD-8B76-7B202DB93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820703"/>
        <c:axId val="238804863"/>
      </c:scatterChart>
      <c:valAx>
        <c:axId val="238820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8804863"/>
        <c:crosses val="autoZero"/>
        <c:crossBetween val="midCat"/>
      </c:valAx>
      <c:valAx>
        <c:axId val="23880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8820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TUB Average</a:t>
            </a:r>
            <a:r>
              <a:rPr lang="en-US" sz="1600" b="1" baseline="0"/>
              <a:t> flow rate</a:t>
            </a:r>
            <a:r>
              <a:rPr lang="en-US" sz="1600" b="1"/>
              <a:t> </a:t>
            </a:r>
            <a:r>
              <a:rPr lang="en-US" sz="1600" b="1" baseline="0"/>
              <a:t>vs Rotation speed (CFD Head of 7.8m)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'w vs eta - First estimation'!$F$17</c:f>
              <c:strCache>
                <c:ptCount val="1"/>
                <c:pt idx="0">
                  <c:v>Avg Mass Flow kg/s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'w vs eta - First estimation'!$A$18:$A$25</c:f>
              <c:numCache>
                <c:formatCode>General</c:formatCode>
                <c:ptCount val="8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</c:numCache>
            </c:numRef>
          </c:xVal>
          <c:yVal>
            <c:numRef>
              <c:f>'w vs eta - First estimation'!$F$18:$F$25</c:f>
              <c:numCache>
                <c:formatCode>General</c:formatCode>
                <c:ptCount val="8"/>
                <c:pt idx="0">
                  <c:v>7.78</c:v>
                </c:pt>
                <c:pt idx="1">
                  <c:v>25.500000000000004</c:v>
                </c:pt>
                <c:pt idx="2">
                  <c:v>44.099999999999994</c:v>
                </c:pt>
                <c:pt idx="3">
                  <c:v>82.02</c:v>
                </c:pt>
                <c:pt idx="4">
                  <c:v>119.61</c:v>
                </c:pt>
                <c:pt idx="5">
                  <c:v>156.57000000000002</c:v>
                </c:pt>
                <c:pt idx="6">
                  <c:v>191.91000000000003</c:v>
                </c:pt>
                <c:pt idx="7">
                  <c:v>228.24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48-46B1-B984-B680500FC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453615"/>
        <c:axId val="142460815"/>
      </c:scatterChart>
      <c:valAx>
        <c:axId val="142453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Rotation speed [rpm]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42460815"/>
        <c:crosses val="autoZero"/>
        <c:crossBetween val="midCat"/>
      </c:valAx>
      <c:valAx>
        <c:axId val="142460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Flow</a:t>
                </a:r>
                <a:r>
                  <a:rPr lang="en-US" b="1" baseline="0"/>
                  <a:t> rate [kg/s]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42453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Turbine mode</a:t>
            </a:r>
            <a:r>
              <a:rPr lang="nb-NO" baseline="0"/>
              <a:t> - Power vs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Reversible'!$AP$3</c:f>
              <c:strCache>
                <c:ptCount val="1"/>
                <c:pt idx="0">
                  <c:v>Power turbine (H=8.45m)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Reversible'!$AO$4:$AO$11</c:f>
              <c:numCache>
                <c:formatCode>General</c:formatCode>
                <c:ptCount val="8"/>
                <c:pt idx="0">
                  <c:v>46.6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>
                  <c:v>250</c:v>
                </c:pt>
                <c:pt idx="5">
                  <c:v>320</c:v>
                </c:pt>
                <c:pt idx="6">
                  <c:v>385</c:v>
                </c:pt>
                <c:pt idx="7">
                  <c:v>521</c:v>
                </c:pt>
              </c:numCache>
            </c:numRef>
          </c:xVal>
          <c:yVal>
            <c:numRef>
              <c:f>'TUB DoE - Reversible'!$AP$4:$AP$11</c:f>
              <c:numCache>
                <c:formatCode>General</c:formatCode>
                <c:ptCount val="8"/>
                <c:pt idx="0">
                  <c:v>1485</c:v>
                </c:pt>
                <c:pt idx="1">
                  <c:v>3465</c:v>
                </c:pt>
                <c:pt idx="2">
                  <c:v>4173</c:v>
                </c:pt>
                <c:pt idx="3">
                  <c:v>4860</c:v>
                </c:pt>
                <c:pt idx="4">
                  <c:v>6102</c:v>
                </c:pt>
                <c:pt idx="5">
                  <c:v>6353.0999999999995</c:v>
                </c:pt>
                <c:pt idx="6">
                  <c:v>5520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61-47D1-BCBF-44EB7311962F}"/>
            </c:ext>
          </c:extLst>
        </c:ser>
        <c:ser>
          <c:idx val="1"/>
          <c:order val="1"/>
          <c:tx>
            <c:strRef>
              <c:f>'TUB DoE - Reversible'!$AQ$3</c:f>
              <c:strCache>
                <c:ptCount val="1"/>
                <c:pt idx="0">
                  <c:v>Power turbine (H=7.95m)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Reversible'!$AO$4:$AO$11</c:f>
              <c:numCache>
                <c:formatCode>General</c:formatCode>
                <c:ptCount val="8"/>
                <c:pt idx="0">
                  <c:v>46.6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>
                  <c:v>250</c:v>
                </c:pt>
                <c:pt idx="5">
                  <c:v>320</c:v>
                </c:pt>
                <c:pt idx="6">
                  <c:v>385</c:v>
                </c:pt>
                <c:pt idx="7">
                  <c:v>521</c:v>
                </c:pt>
              </c:numCache>
            </c:numRef>
          </c:xVal>
          <c:yVal>
            <c:numRef>
              <c:f>'TUB DoE - Reversible'!$AQ$4:$AQ$11</c:f>
              <c:numCache>
                <c:formatCode>General</c:formatCode>
                <c:ptCount val="8"/>
                <c:pt idx="0">
                  <c:v>1395</c:v>
                </c:pt>
                <c:pt idx="1">
                  <c:v>3240</c:v>
                </c:pt>
                <c:pt idx="2">
                  <c:v>3903</c:v>
                </c:pt>
                <c:pt idx="3">
                  <c:v>4560</c:v>
                </c:pt>
                <c:pt idx="4">
                  <c:v>5610</c:v>
                </c:pt>
                <c:pt idx="5">
                  <c:v>5743.2</c:v>
                </c:pt>
                <c:pt idx="6">
                  <c:v>4680</c:v>
                </c:pt>
                <c:pt idx="7">
                  <c:v>-1050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61-47D1-BCBF-44EB7311962F}"/>
            </c:ext>
          </c:extLst>
        </c:ser>
        <c:ser>
          <c:idx val="2"/>
          <c:order val="2"/>
          <c:tx>
            <c:strRef>
              <c:f>'TUB DoE - Reversible'!$AR$3</c:f>
              <c:strCache>
                <c:ptCount val="1"/>
                <c:pt idx="0">
                  <c:v>Power turbine (H=7.45m)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Reversible'!$AO$4:$AO$11</c:f>
              <c:numCache>
                <c:formatCode>General</c:formatCode>
                <c:ptCount val="8"/>
                <c:pt idx="0">
                  <c:v>46.6</c:v>
                </c:pt>
                <c:pt idx="1">
                  <c:v>114</c:v>
                </c:pt>
                <c:pt idx="2">
                  <c:v>140</c:v>
                </c:pt>
                <c:pt idx="3">
                  <c:v>170</c:v>
                </c:pt>
                <c:pt idx="4">
                  <c:v>250</c:v>
                </c:pt>
                <c:pt idx="5">
                  <c:v>320</c:v>
                </c:pt>
                <c:pt idx="6">
                  <c:v>385</c:v>
                </c:pt>
                <c:pt idx="7">
                  <c:v>521</c:v>
                </c:pt>
              </c:numCache>
            </c:numRef>
          </c:xVal>
          <c:yVal>
            <c:numRef>
              <c:f>'TUB DoE - Reversible'!$AR$4:$AR$11</c:f>
              <c:numCache>
                <c:formatCode>General</c:formatCode>
                <c:ptCount val="8"/>
                <c:pt idx="0">
                  <c:v>1305</c:v>
                </c:pt>
                <c:pt idx="1">
                  <c:v>3033</c:v>
                </c:pt>
                <c:pt idx="2">
                  <c:v>3635.9999999999995</c:v>
                </c:pt>
                <c:pt idx="3">
                  <c:v>4200</c:v>
                </c:pt>
                <c:pt idx="4">
                  <c:v>5160</c:v>
                </c:pt>
                <c:pt idx="5">
                  <c:v>5119.5</c:v>
                </c:pt>
                <c:pt idx="6">
                  <c:v>3960</c:v>
                </c:pt>
                <c:pt idx="7">
                  <c:v>-2100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61-47D1-BCBF-44EB73119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Rotation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Pump mode - Power vs discharge</a:t>
            </a:r>
            <a:endParaRPr lang="nb-NO" baseline="0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Reversible'!$AP$19</c:f>
              <c:strCache>
                <c:ptCount val="1"/>
                <c:pt idx="0">
                  <c:v>Power pump (H=8.45m)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Reversible'!$AO$20:$AO$25</c:f>
              <c:numCache>
                <c:formatCode>0.0</c:formatCode>
                <c:ptCount val="6"/>
                <c:pt idx="0">
                  <c:v>46.602546735302091</c:v>
                </c:pt>
                <c:pt idx="1">
                  <c:v>114</c:v>
                </c:pt>
                <c:pt idx="2">
                  <c:v>170</c:v>
                </c:pt>
                <c:pt idx="3">
                  <c:v>250</c:v>
                </c:pt>
                <c:pt idx="4">
                  <c:v>385</c:v>
                </c:pt>
                <c:pt idx="5">
                  <c:v>521</c:v>
                </c:pt>
              </c:numCache>
            </c:numRef>
          </c:xVal>
          <c:yVal>
            <c:numRef>
              <c:f>'TUB DoE - Reversible'!$AP$20:$AP$25</c:f>
              <c:numCache>
                <c:formatCode>General</c:formatCode>
                <c:ptCount val="6"/>
                <c:pt idx="0">
                  <c:v>1524</c:v>
                </c:pt>
                <c:pt idx="1">
                  <c:v>3894</c:v>
                </c:pt>
                <c:pt idx="2">
                  <c:v>6090</c:v>
                </c:pt>
                <c:pt idx="3">
                  <c:v>10050</c:v>
                </c:pt>
                <c:pt idx="4">
                  <c:v>19410</c:v>
                </c:pt>
                <c:pt idx="5">
                  <c:v>33600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B38-4F4F-9084-DEF86DD140BF}"/>
            </c:ext>
          </c:extLst>
        </c:ser>
        <c:ser>
          <c:idx val="1"/>
          <c:order val="1"/>
          <c:tx>
            <c:strRef>
              <c:f>'TUB DoE - Reversible'!$AQ$19</c:f>
              <c:strCache>
                <c:ptCount val="1"/>
                <c:pt idx="0">
                  <c:v>Power pump (H=7.95m)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Reversible'!$AO$20:$AO$25</c:f>
              <c:numCache>
                <c:formatCode>0.0</c:formatCode>
                <c:ptCount val="6"/>
                <c:pt idx="0">
                  <c:v>46.602546735302091</c:v>
                </c:pt>
                <c:pt idx="1">
                  <c:v>114</c:v>
                </c:pt>
                <c:pt idx="2">
                  <c:v>170</c:v>
                </c:pt>
                <c:pt idx="3">
                  <c:v>250</c:v>
                </c:pt>
                <c:pt idx="4">
                  <c:v>385</c:v>
                </c:pt>
                <c:pt idx="5">
                  <c:v>521</c:v>
                </c:pt>
              </c:numCache>
            </c:numRef>
          </c:xVal>
          <c:yVal>
            <c:numRef>
              <c:f>'TUB DoE - Reversible'!$AQ$20:$AQ$25</c:f>
              <c:numCache>
                <c:formatCode>General</c:formatCode>
                <c:ptCount val="6"/>
                <c:pt idx="0">
                  <c:v>1437</c:v>
                </c:pt>
                <c:pt idx="1">
                  <c:v>3678</c:v>
                </c:pt>
                <c:pt idx="2">
                  <c:v>5790</c:v>
                </c:pt>
                <c:pt idx="3">
                  <c:v>9570</c:v>
                </c:pt>
                <c:pt idx="4">
                  <c:v>18720</c:v>
                </c:pt>
                <c:pt idx="5">
                  <c:v>32640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B38-4F4F-9084-DEF86DD140BF}"/>
            </c:ext>
          </c:extLst>
        </c:ser>
        <c:ser>
          <c:idx val="2"/>
          <c:order val="2"/>
          <c:tx>
            <c:strRef>
              <c:f>'TUB DoE - Reversible'!$AR$19</c:f>
              <c:strCache>
                <c:ptCount val="1"/>
                <c:pt idx="0">
                  <c:v>Power pump (H=7.45m)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DoE - Reversible'!$AO$20:$AO$25</c:f>
              <c:numCache>
                <c:formatCode>0.0</c:formatCode>
                <c:ptCount val="6"/>
                <c:pt idx="0">
                  <c:v>46.602546735302091</c:v>
                </c:pt>
                <c:pt idx="1">
                  <c:v>114</c:v>
                </c:pt>
                <c:pt idx="2">
                  <c:v>170</c:v>
                </c:pt>
                <c:pt idx="3">
                  <c:v>250</c:v>
                </c:pt>
                <c:pt idx="4">
                  <c:v>385</c:v>
                </c:pt>
                <c:pt idx="5">
                  <c:v>521</c:v>
                </c:pt>
              </c:numCache>
            </c:numRef>
          </c:xVal>
          <c:yVal>
            <c:numRef>
              <c:f>'TUB DoE - Reversible'!$AR$20:$AR$25</c:f>
              <c:numCache>
                <c:formatCode>General</c:formatCode>
                <c:ptCount val="6"/>
                <c:pt idx="0">
                  <c:v>1347</c:v>
                </c:pt>
                <c:pt idx="1">
                  <c:v>3459</c:v>
                </c:pt>
                <c:pt idx="2">
                  <c:v>5460</c:v>
                </c:pt>
                <c:pt idx="3">
                  <c:v>9090</c:v>
                </c:pt>
                <c:pt idx="4">
                  <c:v>18000</c:v>
                </c:pt>
                <c:pt idx="5">
                  <c:v>31650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B38-4F4F-9084-DEF86DD14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</a:t>
                </a:r>
                <a:r>
                  <a:rPr lang="nb-NO" baseline="0"/>
                  <a:t> speed (rpm)</a:t>
                </a:r>
                <a:endParaRPr lang="nb-NO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baseline="0"/>
              <a:t>Real discharge vs Rotation speed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'TUB DoE - Reversible'!$AP$35</c:f>
              <c:strCache>
                <c:ptCount val="1"/>
                <c:pt idx="0">
                  <c:v>Qavg turbine (H=8.45m)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DoE - Reversible'!$AO$36:$AO$41</c:f>
              <c:numCache>
                <c:formatCode>0.0</c:formatCode>
                <c:ptCount val="6"/>
                <c:pt idx="0">
                  <c:v>46.602546735302091</c:v>
                </c:pt>
                <c:pt idx="1">
                  <c:v>114</c:v>
                </c:pt>
                <c:pt idx="2">
                  <c:v>170</c:v>
                </c:pt>
                <c:pt idx="3">
                  <c:v>250</c:v>
                </c:pt>
                <c:pt idx="4">
                  <c:v>385</c:v>
                </c:pt>
                <c:pt idx="5">
                  <c:v>521</c:v>
                </c:pt>
              </c:numCache>
            </c:numRef>
          </c:xVal>
          <c:yVal>
            <c:numRef>
              <c:f>'TUB DoE - Reversible'!$AP$36:$AP$41</c:f>
              <c:numCache>
                <c:formatCode>General</c:formatCode>
                <c:ptCount val="6"/>
                <c:pt idx="0">
                  <c:v>20.58</c:v>
                </c:pt>
                <c:pt idx="1">
                  <c:v>46.86</c:v>
                </c:pt>
                <c:pt idx="2">
                  <c:v>68.22</c:v>
                </c:pt>
                <c:pt idx="3">
                  <c:v>98.820000000000007</c:v>
                </c:pt>
                <c:pt idx="4">
                  <c:v>149.72999999999999</c:v>
                </c:pt>
                <c:pt idx="5">
                  <c:v>200.76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00BA-496B-91EA-B35F58873B74}"/>
            </c:ext>
          </c:extLst>
        </c:ser>
        <c:ser>
          <c:idx val="1"/>
          <c:order val="1"/>
          <c:tx>
            <c:strRef>
              <c:f>'TUB DoE - Reversible'!$AQ$35</c:f>
              <c:strCache>
                <c:ptCount val="1"/>
                <c:pt idx="0">
                  <c:v>Qavg turbine (H=7.95m)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DoE - Reversible'!$AO$36:$AO$41</c:f>
              <c:numCache>
                <c:formatCode>0.0</c:formatCode>
                <c:ptCount val="6"/>
                <c:pt idx="0">
                  <c:v>46.602546735302091</c:v>
                </c:pt>
                <c:pt idx="1">
                  <c:v>114</c:v>
                </c:pt>
                <c:pt idx="2">
                  <c:v>170</c:v>
                </c:pt>
                <c:pt idx="3">
                  <c:v>250</c:v>
                </c:pt>
                <c:pt idx="4">
                  <c:v>385</c:v>
                </c:pt>
                <c:pt idx="5">
                  <c:v>521</c:v>
                </c:pt>
              </c:numCache>
            </c:numRef>
          </c:xVal>
          <c:yVal>
            <c:numRef>
              <c:f>'TUB DoE - Reversible'!$AQ$36:$AQ$41</c:f>
              <c:numCache>
                <c:formatCode>General</c:formatCode>
                <c:ptCount val="6"/>
                <c:pt idx="0">
                  <c:v>20.49</c:v>
                </c:pt>
                <c:pt idx="1">
                  <c:v>46.739999999999995</c:v>
                </c:pt>
                <c:pt idx="2">
                  <c:v>68.100000000000009</c:v>
                </c:pt>
                <c:pt idx="3">
                  <c:v>98.73</c:v>
                </c:pt>
                <c:pt idx="4">
                  <c:v>149.55000000000001</c:v>
                </c:pt>
                <c:pt idx="5">
                  <c:v>200.73000000000002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00BA-496B-91EA-B35F58873B74}"/>
            </c:ext>
          </c:extLst>
        </c:ser>
        <c:ser>
          <c:idx val="2"/>
          <c:order val="2"/>
          <c:tx>
            <c:strRef>
              <c:f>'TUB DoE - Reversible'!$AR$35</c:f>
              <c:strCache>
                <c:ptCount val="1"/>
                <c:pt idx="0">
                  <c:v>Qavg turbine (H=7.45m)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>
                <a:noFill/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'TUB DoE - Reversible'!$AO$36:$AO$41</c:f>
              <c:numCache>
                <c:formatCode>0.0</c:formatCode>
                <c:ptCount val="6"/>
                <c:pt idx="0">
                  <c:v>46.602546735302091</c:v>
                </c:pt>
                <c:pt idx="1">
                  <c:v>114</c:v>
                </c:pt>
                <c:pt idx="2">
                  <c:v>170</c:v>
                </c:pt>
                <c:pt idx="3">
                  <c:v>250</c:v>
                </c:pt>
                <c:pt idx="4">
                  <c:v>385</c:v>
                </c:pt>
                <c:pt idx="5">
                  <c:v>521</c:v>
                </c:pt>
              </c:numCache>
            </c:numRef>
          </c:xVal>
          <c:yVal>
            <c:numRef>
              <c:f>'TUB DoE - Reversible'!$AR$36:$AR$41</c:f>
              <c:numCache>
                <c:formatCode>General</c:formatCode>
                <c:ptCount val="6"/>
                <c:pt idx="0">
                  <c:v>20.43</c:v>
                </c:pt>
                <c:pt idx="1">
                  <c:v>46.65</c:v>
                </c:pt>
                <c:pt idx="2">
                  <c:v>68.010000000000005</c:v>
                </c:pt>
                <c:pt idx="3">
                  <c:v>98.61</c:v>
                </c:pt>
                <c:pt idx="4">
                  <c:v>149.37</c:v>
                </c:pt>
                <c:pt idx="5">
                  <c:v>200.60999999999999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00BA-496B-91EA-B35F58873B74}"/>
            </c:ext>
          </c:extLst>
        </c:ser>
        <c:ser>
          <c:idx val="3"/>
          <c:order val="3"/>
          <c:tx>
            <c:strRef>
              <c:f>'TUB DoE - Reversible'!$AP$44</c:f>
              <c:strCache>
                <c:ptCount val="1"/>
                <c:pt idx="0">
                  <c:v>Qavg pump (H=8.45m)</c:v>
                </c:pt>
              </c:strCache>
            </c:strRef>
          </c:tx>
          <c:xVal>
            <c:numRef>
              <c:f>'TUB DoE - Reversible'!$AO$45:$AO$50</c:f>
              <c:numCache>
                <c:formatCode>0.0</c:formatCode>
                <c:ptCount val="6"/>
                <c:pt idx="0">
                  <c:v>46.602546735302091</c:v>
                </c:pt>
                <c:pt idx="1">
                  <c:v>114</c:v>
                </c:pt>
                <c:pt idx="2">
                  <c:v>170</c:v>
                </c:pt>
                <c:pt idx="3">
                  <c:v>250</c:v>
                </c:pt>
                <c:pt idx="4">
                  <c:v>385</c:v>
                </c:pt>
                <c:pt idx="5">
                  <c:v>521</c:v>
                </c:pt>
              </c:numCache>
            </c:numRef>
          </c:xVal>
          <c:yVal>
            <c:numRef>
              <c:f>'TUB DoE - Reversible'!$AP$45:$AP$50</c:f>
              <c:numCache>
                <c:formatCode>General</c:formatCode>
                <c:ptCount val="6"/>
                <c:pt idx="0">
                  <c:v>15.632999999999999</c:v>
                </c:pt>
                <c:pt idx="1">
                  <c:v>41.82</c:v>
                </c:pt>
                <c:pt idx="2">
                  <c:v>63.449999999999996</c:v>
                </c:pt>
                <c:pt idx="3">
                  <c:v>93.63</c:v>
                </c:pt>
                <c:pt idx="4">
                  <c:v>145.56</c:v>
                </c:pt>
                <c:pt idx="5">
                  <c:v>197.76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00BA-496B-91EA-B35F58873B74}"/>
            </c:ext>
          </c:extLst>
        </c:ser>
        <c:ser>
          <c:idx val="4"/>
          <c:order val="4"/>
          <c:tx>
            <c:strRef>
              <c:f>'TUB DoE - Reversible'!$AQ$44</c:f>
              <c:strCache>
                <c:ptCount val="1"/>
                <c:pt idx="0">
                  <c:v>Qavg pump (H=7.95m)</c:v>
                </c:pt>
              </c:strCache>
            </c:strRef>
          </c:tx>
          <c:xVal>
            <c:numRef>
              <c:f>'TUB DoE - Reversible'!$AO$45:$AO$50</c:f>
              <c:numCache>
                <c:formatCode>0.0</c:formatCode>
                <c:ptCount val="6"/>
                <c:pt idx="0">
                  <c:v>46.602546735302091</c:v>
                </c:pt>
                <c:pt idx="1">
                  <c:v>114</c:v>
                </c:pt>
                <c:pt idx="2">
                  <c:v>170</c:v>
                </c:pt>
                <c:pt idx="3">
                  <c:v>250</c:v>
                </c:pt>
                <c:pt idx="4">
                  <c:v>385</c:v>
                </c:pt>
                <c:pt idx="5">
                  <c:v>521</c:v>
                </c:pt>
              </c:numCache>
            </c:numRef>
          </c:xVal>
          <c:yVal>
            <c:numRef>
              <c:f>'TUB DoE - Reversible'!$AQ$45:$AQ$50</c:f>
              <c:numCache>
                <c:formatCode>General</c:formatCode>
                <c:ptCount val="6"/>
                <c:pt idx="0">
                  <c:v>15.699</c:v>
                </c:pt>
                <c:pt idx="1">
                  <c:v>41.91</c:v>
                </c:pt>
                <c:pt idx="2">
                  <c:v>63.51</c:v>
                </c:pt>
                <c:pt idx="3">
                  <c:v>93.72</c:v>
                </c:pt>
                <c:pt idx="4">
                  <c:v>145.62</c:v>
                </c:pt>
                <c:pt idx="5">
                  <c:v>197.85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00BA-496B-91EA-B35F58873B74}"/>
            </c:ext>
          </c:extLst>
        </c:ser>
        <c:ser>
          <c:idx val="5"/>
          <c:order val="5"/>
          <c:tx>
            <c:strRef>
              <c:f>'TUB DoE - Reversible'!$AR$44</c:f>
              <c:strCache>
                <c:ptCount val="1"/>
                <c:pt idx="0">
                  <c:v>Qavg pump (H=7.45m)</c:v>
                </c:pt>
              </c:strCache>
            </c:strRef>
          </c:tx>
          <c:trendline>
            <c:spPr>
              <a:ln>
                <a:noFill/>
              </a:ln>
            </c:spPr>
            <c:trendlineType val="linear"/>
            <c:dispRSqr val="0"/>
            <c:dispEq val="1"/>
            <c:trendlineLbl>
              <c:layout>
                <c:manualLayout>
                  <c:x val="9.2333374437442023E-2"/>
                  <c:y val="0.21297858839492212"/>
                </c:manualLayout>
              </c:layout>
              <c:numFmt formatCode="General" sourceLinked="0"/>
            </c:trendlineLbl>
          </c:trendline>
          <c:xVal>
            <c:numRef>
              <c:f>'TUB DoE - Reversible'!$AO$45:$AO$50</c:f>
              <c:numCache>
                <c:formatCode>0.0</c:formatCode>
                <c:ptCount val="6"/>
                <c:pt idx="0">
                  <c:v>46.602546735302091</c:v>
                </c:pt>
                <c:pt idx="1">
                  <c:v>114</c:v>
                </c:pt>
                <c:pt idx="2">
                  <c:v>170</c:v>
                </c:pt>
                <c:pt idx="3">
                  <c:v>250</c:v>
                </c:pt>
                <c:pt idx="4">
                  <c:v>385</c:v>
                </c:pt>
                <c:pt idx="5">
                  <c:v>521</c:v>
                </c:pt>
              </c:numCache>
            </c:numRef>
          </c:xVal>
          <c:yVal>
            <c:numRef>
              <c:f>'TUB DoE - Reversible'!$AR$45:$AR$50</c:f>
              <c:numCache>
                <c:formatCode>General</c:formatCode>
                <c:ptCount val="6"/>
                <c:pt idx="0">
                  <c:v>15.765000000000001</c:v>
                </c:pt>
                <c:pt idx="1">
                  <c:v>42.000000000000007</c:v>
                </c:pt>
                <c:pt idx="2">
                  <c:v>63.63</c:v>
                </c:pt>
                <c:pt idx="3">
                  <c:v>93.809999999999988</c:v>
                </c:pt>
                <c:pt idx="4">
                  <c:v>145.71</c:v>
                </c:pt>
                <c:pt idx="5">
                  <c:v>197.91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00BA-496B-91EA-B35F58873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66800"/>
        <c:axId val="679767520"/>
      </c:scatterChart>
      <c:valAx>
        <c:axId val="67976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Rotation</a:t>
                </a:r>
                <a:r>
                  <a:rPr lang="nb-NO" baseline="0"/>
                  <a:t> (rpm)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b-NO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7520"/>
        <c:crosses val="autoZero"/>
        <c:crossBetween val="midCat"/>
      </c:valAx>
      <c:valAx>
        <c:axId val="6797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Real</a:t>
                </a:r>
                <a:r>
                  <a:rPr lang="nb-NO" baseline="0"/>
                  <a:t> Discharge (l/s)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7976680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13" Type="http://schemas.openxmlformats.org/officeDocument/2006/relationships/chart" Target="../charts/chart18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12" Type="http://schemas.openxmlformats.org/officeDocument/2006/relationships/chart" Target="../charts/chart17.xml"/><Relationship Id="rId2" Type="http://schemas.openxmlformats.org/officeDocument/2006/relationships/chart" Target="../charts/chart7.xml"/><Relationship Id="rId16" Type="http://schemas.openxmlformats.org/officeDocument/2006/relationships/chart" Target="../charts/chart21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11" Type="http://schemas.openxmlformats.org/officeDocument/2006/relationships/chart" Target="../charts/chart16.xml"/><Relationship Id="rId5" Type="http://schemas.openxmlformats.org/officeDocument/2006/relationships/chart" Target="../charts/chart10.xml"/><Relationship Id="rId15" Type="http://schemas.openxmlformats.org/officeDocument/2006/relationships/chart" Target="../charts/chart20.xml"/><Relationship Id="rId10" Type="http://schemas.openxmlformats.org/officeDocument/2006/relationships/chart" Target="../charts/chart15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Relationship Id="rId14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107156</xdr:colOff>
      <xdr:row>27</xdr:row>
      <xdr:rowOff>119063</xdr:rowOff>
    </xdr:from>
    <xdr:to>
      <xdr:col>4</xdr:col>
      <xdr:colOff>1025338</xdr:colOff>
      <xdr:row>44</xdr:row>
      <xdr:rowOff>147638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39D622-91BB-3D5C-55B4-F6DAB4DEAD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38801</xdr:colOff>
      <xdr:row>27</xdr:row>
      <xdr:rowOff>163607</xdr:rowOff>
    </xdr:from>
    <xdr:to>
      <xdr:col>8</xdr:col>
      <xdr:colOff>196104</xdr:colOff>
      <xdr:row>44</xdr:row>
      <xdr:rowOff>145677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7BE090-85B4-425B-07BF-C53B2643C7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122463</xdr:colOff>
      <xdr:row>18</xdr:row>
      <xdr:rowOff>47625</xdr:rowOff>
    </xdr:from>
    <xdr:to>
      <xdr:col>21</xdr:col>
      <xdr:colOff>68036</xdr:colOff>
      <xdr:row>44</xdr:row>
      <xdr:rowOff>172810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7762F8-0F74-4369-A4DC-720B62F8E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578303</xdr:colOff>
      <xdr:row>0</xdr:row>
      <xdr:rowOff>167690</xdr:rowOff>
    </xdr:from>
    <xdr:to>
      <xdr:col>24</xdr:col>
      <xdr:colOff>370594</xdr:colOff>
      <xdr:row>17</xdr:row>
      <xdr:rowOff>102053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F74E57B-021F-4D7F-371E-81DDB2E54A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257735</xdr:colOff>
      <xdr:row>27</xdr:row>
      <xdr:rowOff>169449</xdr:rowOff>
    </xdr:from>
    <xdr:to>
      <xdr:col>11</xdr:col>
      <xdr:colOff>156881</xdr:colOff>
      <xdr:row>44</xdr:row>
      <xdr:rowOff>33618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2112F37-B3C4-28B5-B93B-0162BAC9D7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554234</xdr:colOff>
      <xdr:row>40</xdr:row>
      <xdr:rowOff>22567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8FA8EDF-D7AE-439C-8EC9-493162C3D0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48552" cy="72962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22</xdr:col>
      <xdr:colOff>581077</xdr:colOff>
      <xdr:row>40</xdr:row>
      <xdr:rowOff>47678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A24F7226-2DDD-4609-BFFA-3D139E983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93182" y="0"/>
          <a:ext cx="7075395" cy="7321314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0</xdr:row>
      <xdr:rowOff>0</xdr:rowOff>
    </xdr:from>
    <xdr:to>
      <xdr:col>34</xdr:col>
      <xdr:colOff>523926</xdr:colOff>
      <xdr:row>39</xdr:row>
      <xdr:rowOff>171503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9813FCB-55F6-4867-B5E6-CF41147DF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586364" y="0"/>
          <a:ext cx="7018244" cy="72632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391645</xdr:colOff>
      <xdr:row>26</xdr:row>
      <xdr:rowOff>177611</xdr:rowOff>
    </xdr:from>
    <xdr:to>
      <xdr:col>14</xdr:col>
      <xdr:colOff>376517</xdr:colOff>
      <xdr:row>49</xdr:row>
      <xdr:rowOff>63312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3E6B67D-3851-4616-A3BF-75441A0B5E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47622</xdr:colOff>
      <xdr:row>0</xdr:row>
      <xdr:rowOff>125186</xdr:rowOff>
    </xdr:from>
    <xdr:to>
      <xdr:col>47</xdr:col>
      <xdr:colOff>176893</xdr:colOff>
      <xdr:row>15</xdr:row>
      <xdr:rowOff>108857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5B95810-C8C6-C38E-57FC-899A8F2F7A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74838</xdr:colOff>
      <xdr:row>16</xdr:row>
      <xdr:rowOff>16330</xdr:rowOff>
    </xdr:from>
    <xdr:to>
      <xdr:col>47</xdr:col>
      <xdr:colOff>0</xdr:colOff>
      <xdr:row>31</xdr:row>
      <xdr:rowOff>40821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52BF6BC-FEF5-EF87-F8CD-E329C8A419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54428</xdr:colOff>
      <xdr:row>32</xdr:row>
      <xdr:rowOff>81643</xdr:rowOff>
    </xdr:from>
    <xdr:to>
      <xdr:col>48</xdr:col>
      <xdr:colOff>476248</xdr:colOff>
      <xdr:row>51</xdr:row>
      <xdr:rowOff>108857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5121DC-3ACA-6108-CEBA-F5DB3E2B4A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44</xdr:col>
      <xdr:colOff>55665</xdr:colOff>
      <xdr:row>52</xdr:row>
      <xdr:rowOff>38346</xdr:rowOff>
    </xdr:from>
    <xdr:to>
      <xdr:col>48</xdr:col>
      <xdr:colOff>372341</xdr:colOff>
      <xdr:row>67</xdr:row>
      <xdr:rowOff>11131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FC7D442-65EF-BF7F-AEA0-932C65CF81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44</xdr:col>
      <xdr:colOff>45152</xdr:colOff>
      <xdr:row>67</xdr:row>
      <xdr:rowOff>23812</xdr:rowOff>
    </xdr:from>
    <xdr:to>
      <xdr:col>47</xdr:col>
      <xdr:colOff>595312</xdr:colOff>
      <xdr:row>84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230C4DB-F1E7-4BC6-5D6E-D468F885A6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182495</xdr:colOff>
      <xdr:row>115</xdr:row>
      <xdr:rowOff>176413</xdr:rowOff>
    </xdr:from>
    <xdr:to>
      <xdr:col>47</xdr:col>
      <xdr:colOff>28814</xdr:colOff>
      <xdr:row>131</xdr:row>
      <xdr:rowOff>11205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9965D10-E2E1-A8D1-587B-6D2579B9A9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44</xdr:col>
      <xdr:colOff>81643</xdr:colOff>
      <xdr:row>83</xdr:row>
      <xdr:rowOff>179615</xdr:rowOff>
    </xdr:from>
    <xdr:to>
      <xdr:col>46</xdr:col>
      <xdr:colOff>1496786</xdr:colOff>
      <xdr:row>98</xdr:row>
      <xdr:rowOff>134791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32EDE825-EC3F-9574-DAD1-B1BAB532A4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47</xdr:col>
      <xdr:colOff>0</xdr:colOff>
      <xdr:row>84</xdr:row>
      <xdr:rowOff>0</xdr:rowOff>
    </xdr:from>
    <xdr:to>
      <xdr:col>54</xdr:col>
      <xdr:colOff>316967</xdr:colOff>
      <xdr:row>98</xdr:row>
      <xdr:rowOff>145676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8308C8-B9F8-4554-9563-406ED68201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48</xdr:col>
      <xdr:colOff>381000</xdr:colOff>
      <xdr:row>67</xdr:row>
      <xdr:rowOff>103910</xdr:rowOff>
    </xdr:from>
    <xdr:to>
      <xdr:col>54</xdr:col>
      <xdr:colOff>327517</xdr:colOff>
      <xdr:row>82</xdr:row>
      <xdr:rowOff>109919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C7AFEE-0D0B-BF74-CD4E-A92FEB71E0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34637</xdr:colOff>
      <xdr:row>99</xdr:row>
      <xdr:rowOff>138546</xdr:rowOff>
    </xdr:from>
    <xdr:to>
      <xdr:col>46</xdr:col>
      <xdr:colOff>1563220</xdr:colOff>
      <xdr:row>114</xdr:row>
      <xdr:rowOff>44824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33DA6FD-DEC9-8FCC-F59D-DFDFF29F9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47</xdr:col>
      <xdr:colOff>117661</xdr:colOff>
      <xdr:row>99</xdr:row>
      <xdr:rowOff>101972</xdr:rowOff>
    </xdr:from>
    <xdr:to>
      <xdr:col>52</xdr:col>
      <xdr:colOff>722779</xdr:colOff>
      <xdr:row>114</xdr:row>
      <xdr:rowOff>123263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4DF056B-A6AF-6E8B-2624-8E43992431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27</xdr:col>
      <xdr:colOff>543359</xdr:colOff>
      <xdr:row>101</xdr:row>
      <xdr:rowOff>71748</xdr:rowOff>
    </xdr:from>
    <xdr:to>
      <xdr:col>37</xdr:col>
      <xdr:colOff>141948</xdr:colOff>
      <xdr:row>124</xdr:row>
      <xdr:rowOff>55421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74621FF3-3717-6C1B-1F4C-FE73984727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18</xdr:col>
      <xdr:colOff>411616</xdr:colOff>
      <xdr:row>101</xdr:row>
      <xdr:rowOff>47626</xdr:rowOff>
    </xdr:from>
    <xdr:to>
      <xdr:col>27</xdr:col>
      <xdr:colOff>476249</xdr:colOff>
      <xdr:row>124</xdr:row>
      <xdr:rowOff>3400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7D8B6916-271D-91AE-495F-26F8D833D5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20</xdr:col>
      <xdr:colOff>607218</xdr:colOff>
      <xdr:row>124</xdr:row>
      <xdr:rowOff>108012</xdr:rowOff>
    </xdr:from>
    <xdr:to>
      <xdr:col>27</xdr:col>
      <xdr:colOff>540362</xdr:colOff>
      <xdr:row>139</xdr:row>
      <xdr:rowOff>17538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23DB7E1-8107-4AA2-825C-7A06715D1D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28</xdr:col>
      <xdr:colOff>14835</xdr:colOff>
      <xdr:row>124</xdr:row>
      <xdr:rowOff>107156</xdr:rowOff>
    </xdr:from>
    <xdr:to>
      <xdr:col>32</xdr:col>
      <xdr:colOff>211894</xdr:colOff>
      <xdr:row>139</xdr:row>
      <xdr:rowOff>128446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AF7FB892-5AAB-4AD2-BE1E-C39875FEF7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81E4D-9422-48F3-B839-78312BCE25B2}">
  <dimension ref="A1:Q25"/>
  <sheetViews>
    <sheetView zoomScale="70" zoomScaleNormal="70" workbookViewId="0">
      <selection activeCell="C5" sqref="C5"/>
    </sheetView>
  </sheetViews>
  <sheetFormatPr defaultRowHeight="15" x14ac:dyDescent="0.25"/>
  <cols>
    <col min="3" max="3" width="15.5703125" bestFit="1" customWidth="1"/>
    <col min="4" max="4" width="21.140625" bestFit="1" customWidth="1"/>
    <col min="5" max="5" width="14.7109375" bestFit="1" customWidth="1"/>
    <col min="6" max="6" width="19.42578125" bestFit="1" customWidth="1"/>
    <col min="7" max="7" width="21.28515625" bestFit="1" customWidth="1"/>
    <col min="8" max="8" width="16.7109375" customWidth="1"/>
    <col min="9" max="9" width="21.85546875" bestFit="1" customWidth="1"/>
    <col min="10" max="10" width="21.42578125" bestFit="1" customWidth="1"/>
    <col min="11" max="11" width="13.5703125" bestFit="1" customWidth="1"/>
    <col min="12" max="12" width="12.140625" bestFit="1" customWidth="1"/>
  </cols>
  <sheetData>
    <row r="1" spans="1:17" x14ac:dyDescent="0.25">
      <c r="A1" s="21" t="s">
        <v>5</v>
      </c>
      <c r="B1" s="21"/>
      <c r="C1" s="21">
        <v>1</v>
      </c>
      <c r="D1" s="21" t="s">
        <v>6</v>
      </c>
      <c r="E1" s="7"/>
      <c r="F1" s="7"/>
      <c r="G1" s="21" t="s">
        <v>12</v>
      </c>
      <c r="H1" s="21"/>
      <c r="I1" s="21"/>
      <c r="J1" s="7"/>
      <c r="K1" s="21" t="s">
        <v>14</v>
      </c>
      <c r="L1" s="21">
        <v>300</v>
      </c>
      <c r="M1" s="21" t="s">
        <v>6</v>
      </c>
      <c r="N1" s="21" t="s">
        <v>15</v>
      </c>
      <c r="O1" s="21"/>
      <c r="P1" s="15"/>
      <c r="Q1" s="15"/>
    </row>
    <row r="2" spans="1:17" x14ac:dyDescent="0.25">
      <c r="A2" s="21" t="s">
        <v>7</v>
      </c>
      <c r="B2" s="21"/>
      <c r="C2" s="21">
        <v>0.15</v>
      </c>
      <c r="D2" s="21" t="s">
        <v>6</v>
      </c>
      <c r="E2" s="7"/>
      <c r="F2" s="7"/>
      <c r="G2" s="21" t="s">
        <v>13</v>
      </c>
      <c r="H2" s="21">
        <v>1</v>
      </c>
      <c r="I2" s="21" t="s">
        <v>6</v>
      </c>
      <c r="J2" s="7"/>
      <c r="K2" s="7"/>
      <c r="L2" s="7"/>
      <c r="M2" s="7"/>
      <c r="N2" s="7"/>
      <c r="O2" s="7"/>
    </row>
    <row r="3" spans="1:17" x14ac:dyDescent="0.25">
      <c r="A3" s="21" t="s">
        <v>2</v>
      </c>
      <c r="B3" s="21"/>
      <c r="C3" s="21">
        <v>235.62</v>
      </c>
      <c r="D3" s="21" t="s">
        <v>6</v>
      </c>
      <c r="E3" s="7"/>
      <c r="F3" s="7"/>
      <c r="G3" s="21" t="s">
        <v>11</v>
      </c>
      <c r="H3" s="21">
        <v>7.8</v>
      </c>
      <c r="I3" s="21" t="s">
        <v>0</v>
      </c>
      <c r="J3" s="22"/>
      <c r="K3" s="22"/>
      <c r="L3" s="22"/>
      <c r="M3" s="22"/>
      <c r="N3" s="22"/>
      <c r="O3" s="22"/>
    </row>
    <row r="4" spans="1:17" ht="15" customHeight="1" x14ac:dyDescent="0.25">
      <c r="A4" s="21" t="s">
        <v>1</v>
      </c>
      <c r="B4" s="21"/>
      <c r="C4" s="21">
        <v>262.5</v>
      </c>
      <c r="D4" s="21" t="s">
        <v>6</v>
      </c>
      <c r="E4" s="7"/>
      <c r="F4" s="7"/>
      <c r="G4" s="67" t="s">
        <v>42</v>
      </c>
      <c r="H4" s="67"/>
      <c r="I4" s="67"/>
      <c r="J4" s="67"/>
      <c r="K4" s="67"/>
      <c r="L4" s="67"/>
      <c r="M4" s="67"/>
      <c r="N4" s="67"/>
      <c r="O4" s="67"/>
    </row>
    <row r="5" spans="1:17" x14ac:dyDescent="0.25">
      <c r="A5" s="21" t="s">
        <v>8</v>
      </c>
      <c r="B5" s="21"/>
      <c r="C5" s="21">
        <f>(C4-C1)*4/3</f>
        <v>348.66666666666669</v>
      </c>
      <c r="D5" s="21" t="s">
        <v>6</v>
      </c>
      <c r="E5" s="21" t="s">
        <v>25</v>
      </c>
      <c r="F5" s="21"/>
      <c r="G5" s="67"/>
      <c r="H5" s="67"/>
      <c r="I5" s="67"/>
      <c r="J5" s="67"/>
      <c r="K5" s="67"/>
      <c r="L5" s="67"/>
      <c r="M5" s="67"/>
      <c r="N5" s="67"/>
      <c r="O5" s="67"/>
    </row>
    <row r="6" spans="1:17" x14ac:dyDescent="0.25">
      <c r="G6" s="67"/>
      <c r="H6" s="67"/>
      <c r="I6" s="67"/>
      <c r="J6" s="67"/>
      <c r="K6" s="67"/>
      <c r="L6" s="67"/>
      <c r="M6" s="67"/>
      <c r="N6" s="67"/>
      <c r="O6" s="67"/>
    </row>
    <row r="7" spans="1:17" x14ac:dyDescent="0.25">
      <c r="A7" t="s">
        <v>9</v>
      </c>
      <c r="C7" t="s">
        <v>10</v>
      </c>
      <c r="D7" t="s">
        <v>17</v>
      </c>
      <c r="E7" t="s">
        <v>18</v>
      </c>
      <c r="F7" t="s">
        <v>16</v>
      </c>
      <c r="H7" t="s">
        <v>32</v>
      </c>
      <c r="I7" s="3" t="s">
        <v>33</v>
      </c>
      <c r="J7" s="3" t="s">
        <v>34</v>
      </c>
      <c r="K7" t="s">
        <v>4</v>
      </c>
      <c r="L7" t="s">
        <v>26</v>
      </c>
    </row>
    <row r="8" spans="1:17" x14ac:dyDescent="0.25">
      <c r="A8">
        <v>0</v>
      </c>
      <c r="C8">
        <f t="shared" ref="C8:C15" si="0">H8*100</f>
        <v>0</v>
      </c>
      <c r="E8" s="4">
        <v>0.48</v>
      </c>
      <c r="G8" s="4" t="s">
        <v>27</v>
      </c>
      <c r="H8">
        <v>0</v>
      </c>
      <c r="I8" s="1"/>
      <c r="J8" s="1"/>
    </row>
    <row r="9" spans="1:17" x14ac:dyDescent="0.25">
      <c r="A9">
        <v>50</v>
      </c>
      <c r="C9">
        <f t="shared" si="0"/>
        <v>77.739999999999995</v>
      </c>
      <c r="D9" s="4">
        <v>5</v>
      </c>
      <c r="E9" s="4">
        <v>0.47</v>
      </c>
      <c r="F9" s="4">
        <v>8.5000000000000006E-2</v>
      </c>
      <c r="G9" s="4" t="s">
        <v>28</v>
      </c>
      <c r="H9" s="16">
        <v>0.77739999999999998</v>
      </c>
      <c r="I9" s="1"/>
      <c r="J9" s="1"/>
    </row>
    <row r="10" spans="1:17" x14ac:dyDescent="0.25">
      <c r="A10">
        <v>100</v>
      </c>
      <c r="C10">
        <f t="shared" si="0"/>
        <v>85.36</v>
      </c>
      <c r="D10" s="11">
        <v>9.64</v>
      </c>
      <c r="E10" s="11">
        <v>0.45800000000000002</v>
      </c>
      <c r="F10" s="11">
        <v>0.14699999999999999</v>
      </c>
      <c r="H10" s="17">
        <v>0.85360000000000003</v>
      </c>
      <c r="I10" s="1"/>
      <c r="J10" s="1"/>
      <c r="K10" s="20">
        <v>0.1</v>
      </c>
      <c r="L10" s="19">
        <v>0.115</v>
      </c>
      <c r="N10" s="18"/>
    </row>
    <row r="11" spans="1:17" x14ac:dyDescent="0.25">
      <c r="A11">
        <v>200</v>
      </c>
      <c r="C11">
        <f t="shared" si="0"/>
        <v>85.399999999999991</v>
      </c>
      <c r="D11" s="11">
        <v>17.93</v>
      </c>
      <c r="E11" s="11">
        <v>0.43</v>
      </c>
      <c r="F11" s="11">
        <v>0.27339999999999998</v>
      </c>
      <c r="H11" s="17">
        <v>0.85399999999999998</v>
      </c>
      <c r="I11" s="1"/>
      <c r="J11" s="1"/>
    </row>
    <row r="12" spans="1:17" x14ac:dyDescent="0.25">
      <c r="A12">
        <v>300</v>
      </c>
      <c r="C12">
        <f t="shared" si="0"/>
        <v>76.83</v>
      </c>
      <c r="D12">
        <v>23.5</v>
      </c>
      <c r="E12">
        <v>0.37409999999999999</v>
      </c>
      <c r="F12">
        <v>0.3987</v>
      </c>
      <c r="H12" s="12">
        <v>0.76829999999999998</v>
      </c>
      <c r="I12" s="1"/>
      <c r="J12" s="1"/>
    </row>
    <row r="13" spans="1:17" x14ac:dyDescent="0.25">
      <c r="A13">
        <v>400</v>
      </c>
      <c r="C13">
        <f t="shared" si="0"/>
        <v>62.2</v>
      </c>
      <c r="D13">
        <v>24.84</v>
      </c>
      <c r="E13">
        <v>0.29599999999999999</v>
      </c>
      <c r="F13">
        <v>0.52190000000000003</v>
      </c>
      <c r="H13" s="12">
        <v>0.622</v>
      </c>
      <c r="I13" s="1"/>
      <c r="J13" s="1"/>
    </row>
    <row r="14" spans="1:17" x14ac:dyDescent="0.25">
      <c r="A14">
        <v>500</v>
      </c>
      <c r="C14">
        <f t="shared" si="0"/>
        <v>42.699999999999996</v>
      </c>
      <c r="D14">
        <v>20.83</v>
      </c>
      <c r="E14">
        <v>0.2049</v>
      </c>
      <c r="F14">
        <v>0.63970000000000005</v>
      </c>
      <c r="H14" s="12">
        <v>0.42699999999999999</v>
      </c>
      <c r="I14" s="1"/>
      <c r="J14" s="1"/>
    </row>
    <row r="15" spans="1:17" x14ac:dyDescent="0.25">
      <c r="A15">
        <v>600</v>
      </c>
      <c r="C15">
        <f t="shared" si="0"/>
        <v>18.759999999999998</v>
      </c>
      <c r="D15">
        <v>10.64</v>
      </c>
      <c r="E15">
        <v>7.8600000000000003E-2</v>
      </c>
      <c r="F15">
        <v>0.76080000000000003</v>
      </c>
      <c r="H15" s="12">
        <v>0.18759999999999999</v>
      </c>
      <c r="I15" s="1"/>
      <c r="J15" s="1"/>
      <c r="K15" s="18">
        <v>7.0000000000000007E-2</v>
      </c>
      <c r="L15" s="19">
        <v>6.5000000000000002E-2</v>
      </c>
      <c r="N15" s="18"/>
    </row>
    <row r="16" spans="1:17" x14ac:dyDescent="0.25">
      <c r="C16" s="9"/>
      <c r="D16" s="9"/>
    </row>
    <row r="17" spans="1:16" x14ac:dyDescent="0.25">
      <c r="A17" t="s">
        <v>9</v>
      </c>
      <c r="B17" t="s">
        <v>29</v>
      </c>
      <c r="C17" t="s">
        <v>19</v>
      </c>
      <c r="D17" t="s">
        <v>31</v>
      </c>
      <c r="E17" t="s">
        <v>30</v>
      </c>
      <c r="F17" t="s">
        <v>20</v>
      </c>
      <c r="G17" t="s">
        <v>35</v>
      </c>
    </row>
    <row r="18" spans="1:16" x14ac:dyDescent="0.25">
      <c r="A18">
        <v>0</v>
      </c>
      <c r="B18">
        <f>A18*PI()/30</f>
        <v>0</v>
      </c>
      <c r="C18" s="12">
        <v>0</v>
      </c>
      <c r="D18" s="12"/>
      <c r="E18" s="13">
        <f t="shared" ref="E18:E25" si="1">E8*$L$1</f>
        <v>144</v>
      </c>
      <c r="F18" s="1">
        <v>7.78</v>
      </c>
      <c r="G18" s="14" t="s">
        <v>24</v>
      </c>
      <c r="H18" s="14"/>
      <c r="I18" s="14"/>
      <c r="J18" s="14"/>
      <c r="K18" s="14"/>
      <c r="L18" s="14"/>
      <c r="M18" s="14"/>
      <c r="N18" s="14"/>
      <c r="O18" s="1"/>
      <c r="P18" s="1"/>
    </row>
    <row r="19" spans="1:16" x14ac:dyDescent="0.25">
      <c r="A19">
        <v>50</v>
      </c>
      <c r="B19">
        <f t="shared" ref="B19:B25" si="2">A19*PI()/30</f>
        <v>5.2359877559829888</v>
      </c>
      <c r="C19">
        <f t="shared" ref="C19:C25" si="3">D9*$L$1</f>
        <v>1500</v>
      </c>
      <c r="D19" s="12">
        <f t="shared" ref="D19:D25" si="4">C19/B19</f>
        <v>286.47889756541161</v>
      </c>
      <c r="E19" s="13">
        <f t="shared" si="1"/>
        <v>141</v>
      </c>
      <c r="F19">
        <f t="shared" ref="F19:F25" si="5">F9*$L$1</f>
        <v>25.500000000000004</v>
      </c>
    </row>
    <row r="20" spans="1:16" x14ac:dyDescent="0.25">
      <c r="A20">
        <v>100</v>
      </c>
      <c r="B20">
        <f t="shared" si="2"/>
        <v>10.471975511965978</v>
      </c>
      <c r="C20">
        <f t="shared" si="3"/>
        <v>2892</v>
      </c>
      <c r="D20" s="12">
        <f t="shared" si="4"/>
        <v>276.16565725305679</v>
      </c>
      <c r="E20" s="13">
        <f t="shared" si="1"/>
        <v>137.4</v>
      </c>
      <c r="F20">
        <f t="shared" si="5"/>
        <v>44.099999999999994</v>
      </c>
    </row>
    <row r="21" spans="1:16" x14ac:dyDescent="0.25">
      <c r="A21">
        <v>200</v>
      </c>
      <c r="B21">
        <f t="shared" si="2"/>
        <v>20.943951023931955</v>
      </c>
      <c r="C21">
        <f t="shared" si="3"/>
        <v>5379</v>
      </c>
      <c r="D21" s="12">
        <f t="shared" si="4"/>
        <v>256.82833166739152</v>
      </c>
      <c r="E21" s="13">
        <f t="shared" si="1"/>
        <v>129</v>
      </c>
      <c r="F21">
        <f t="shared" si="5"/>
        <v>82.02</v>
      </c>
    </row>
    <row r="22" spans="1:16" x14ac:dyDescent="0.25">
      <c r="A22">
        <v>300</v>
      </c>
      <c r="B22">
        <f t="shared" si="2"/>
        <v>31.415926535897931</v>
      </c>
      <c r="C22">
        <f t="shared" si="3"/>
        <v>7050</v>
      </c>
      <c r="D22" s="12">
        <f t="shared" si="4"/>
        <v>224.40846975957243</v>
      </c>
      <c r="E22" s="13">
        <f t="shared" si="1"/>
        <v>112.22999999999999</v>
      </c>
      <c r="F22">
        <f t="shared" si="5"/>
        <v>119.61</v>
      </c>
    </row>
    <row r="23" spans="1:16" x14ac:dyDescent="0.25">
      <c r="A23">
        <v>400</v>
      </c>
      <c r="B23">
        <f t="shared" si="2"/>
        <v>41.887902047863911</v>
      </c>
      <c r="C23">
        <f t="shared" si="3"/>
        <v>7452</v>
      </c>
      <c r="D23" s="12">
        <f t="shared" si="4"/>
        <v>177.9033953881206</v>
      </c>
      <c r="E23" s="13">
        <f t="shared" si="1"/>
        <v>88.8</v>
      </c>
      <c r="F23">
        <f t="shared" si="5"/>
        <v>156.57000000000002</v>
      </c>
    </row>
    <row r="24" spans="1:16" x14ac:dyDescent="0.25">
      <c r="A24">
        <v>500</v>
      </c>
      <c r="B24">
        <f t="shared" si="2"/>
        <v>52.359877559829883</v>
      </c>
      <c r="C24">
        <f t="shared" si="3"/>
        <v>6248.9999999999991</v>
      </c>
      <c r="D24" s="12">
        <f t="shared" si="4"/>
        <v>119.34710872575047</v>
      </c>
      <c r="E24" s="13">
        <f t="shared" si="1"/>
        <v>61.47</v>
      </c>
      <c r="F24">
        <f t="shared" si="5"/>
        <v>191.91000000000003</v>
      </c>
    </row>
    <row r="25" spans="1:16" x14ac:dyDescent="0.25">
      <c r="A25">
        <v>600</v>
      </c>
      <c r="B25">
        <f t="shared" si="2"/>
        <v>62.831853071795862</v>
      </c>
      <c r="C25">
        <f t="shared" si="3"/>
        <v>3192</v>
      </c>
      <c r="D25" s="12">
        <f t="shared" si="4"/>
        <v>50.802257834932995</v>
      </c>
      <c r="E25" s="13">
        <f t="shared" si="1"/>
        <v>23.580000000000002</v>
      </c>
      <c r="F25">
        <f t="shared" si="5"/>
        <v>228.24</v>
      </c>
      <c r="G25">
        <f>F25/997*1000*(1+L15)</f>
        <v>243.80702106318955</v>
      </c>
    </row>
  </sheetData>
  <mergeCells count="1">
    <mergeCell ref="G4:O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744D3-F491-4D46-852E-8CD1918E4607}">
  <dimension ref="C41:AB48"/>
  <sheetViews>
    <sheetView zoomScale="85" zoomScaleNormal="85" workbookViewId="0">
      <selection activeCell="W46" sqref="W46"/>
    </sheetView>
  </sheetViews>
  <sheetFormatPr defaultRowHeight="15" x14ac:dyDescent="0.25"/>
  <sheetData>
    <row r="41" spans="3:28" x14ac:dyDescent="0.25">
      <c r="C41" s="1" t="s">
        <v>21</v>
      </c>
      <c r="N41" s="1" t="s">
        <v>23</v>
      </c>
      <c r="Z41" s="1" t="s">
        <v>22</v>
      </c>
    </row>
    <row r="44" spans="3:28" x14ac:dyDescent="0.25">
      <c r="Z44" t="s">
        <v>39</v>
      </c>
      <c r="AA44">
        <v>600</v>
      </c>
      <c r="AB44" t="s">
        <v>36</v>
      </c>
    </row>
    <row r="45" spans="3:28" x14ac:dyDescent="0.25">
      <c r="AA45">
        <f>AA44*(PI()/30)</f>
        <v>62.831853071795862</v>
      </c>
      <c r="AB45" t="s">
        <v>29</v>
      </c>
    </row>
    <row r="47" spans="3:28" x14ac:dyDescent="0.25">
      <c r="Z47" t="s">
        <v>38</v>
      </c>
      <c r="AA47">
        <v>35</v>
      </c>
      <c r="AB47" t="s">
        <v>37</v>
      </c>
    </row>
    <row r="48" spans="3:28" x14ac:dyDescent="0.25">
      <c r="Z48" t="s">
        <v>40</v>
      </c>
      <c r="AA48">
        <f>AA47/AA45</f>
        <v>0.55704230082163375</v>
      </c>
      <c r="AB48" t="s">
        <v>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28FE0-1B74-4950-A6BC-AC404E00E38D}">
  <dimension ref="A1:BB148"/>
  <sheetViews>
    <sheetView tabSelected="1" zoomScaleNormal="100" workbookViewId="0">
      <selection activeCell="C16" sqref="C16"/>
    </sheetView>
  </sheetViews>
  <sheetFormatPr defaultRowHeight="15" x14ac:dyDescent="0.25"/>
  <cols>
    <col min="1" max="1" width="35.28515625" customWidth="1"/>
    <col min="2" max="2" width="16.140625" bestFit="1" customWidth="1"/>
    <col min="3" max="3" width="12.5703125" bestFit="1" customWidth="1"/>
    <col min="4" max="5" width="12.5703125" customWidth="1"/>
    <col min="6" max="6" width="12.5703125" bestFit="1" customWidth="1"/>
    <col min="7" max="7" width="12.5703125" customWidth="1"/>
    <col min="8" max="8" width="12.5703125" bestFit="1" customWidth="1"/>
    <col min="9" max="9" width="16.140625" bestFit="1" customWidth="1"/>
    <col min="10" max="10" width="12.5703125" bestFit="1" customWidth="1"/>
    <col min="11" max="11" width="13.42578125" bestFit="1" customWidth="1"/>
    <col min="16" max="16" width="11.7109375" customWidth="1"/>
    <col min="17" max="17" width="11.28515625" bestFit="1" customWidth="1"/>
    <col min="18" max="18" width="35.28515625" bestFit="1" customWidth="1"/>
    <col min="20" max="20" width="10" bestFit="1" customWidth="1"/>
    <col min="21" max="21" width="10" customWidth="1"/>
    <col min="22" max="22" width="9.7109375" bestFit="1" customWidth="1"/>
    <col min="23" max="24" width="10" bestFit="1" customWidth="1"/>
    <col min="25" max="25" width="11.5703125" bestFit="1" customWidth="1"/>
    <col min="30" max="30" width="31.85546875" bestFit="1" customWidth="1"/>
    <col min="31" max="31" width="12" customWidth="1"/>
    <col min="32" max="33" width="12.140625" bestFit="1" customWidth="1"/>
    <col min="41" max="41" width="10.7109375" bestFit="1" customWidth="1"/>
    <col min="42" max="42" width="35.42578125" bestFit="1" customWidth="1"/>
    <col min="43" max="44" width="23.85546875" bestFit="1" customWidth="1"/>
    <col min="45" max="47" width="23.5703125" bestFit="1" customWidth="1"/>
    <col min="50" max="50" width="11.7109375" bestFit="1" customWidth="1"/>
    <col min="51" max="53" width="14.7109375" bestFit="1" customWidth="1"/>
  </cols>
  <sheetData>
    <row r="1" spans="1:44" x14ac:dyDescent="0.25">
      <c r="A1" s="70" t="s">
        <v>45</v>
      </c>
      <c r="B1" s="70"/>
      <c r="C1" s="70"/>
      <c r="D1" s="70"/>
      <c r="E1" s="70"/>
      <c r="F1" s="70"/>
      <c r="G1" s="70"/>
      <c r="H1" s="70"/>
      <c r="I1" s="70"/>
      <c r="AE1" t="s">
        <v>99</v>
      </c>
      <c r="AF1">
        <v>300</v>
      </c>
      <c r="AI1" t="s">
        <v>6</v>
      </c>
    </row>
    <row r="2" spans="1:44" ht="15.75" thickBot="1" x14ac:dyDescent="0.3">
      <c r="B2" s="69" t="s">
        <v>92</v>
      </c>
      <c r="C2" s="69"/>
      <c r="D2" s="69"/>
      <c r="E2" s="69"/>
      <c r="F2" s="69"/>
      <c r="G2" s="69"/>
      <c r="H2" s="69"/>
      <c r="I2" s="69"/>
      <c r="S2" s="69" t="s">
        <v>100</v>
      </c>
      <c r="T2" s="69"/>
      <c r="U2" s="69"/>
      <c r="V2" s="69"/>
      <c r="W2" s="69"/>
      <c r="X2" s="69"/>
      <c r="Y2" s="69"/>
      <c r="Z2" s="69"/>
      <c r="AA2" s="69"/>
      <c r="AE2" s="69" t="s">
        <v>151</v>
      </c>
      <c r="AF2" s="69"/>
      <c r="AG2" s="69"/>
      <c r="AH2" s="69"/>
      <c r="AI2" s="69"/>
      <c r="AJ2" s="69"/>
      <c r="AK2" s="69"/>
      <c r="AL2" s="69"/>
      <c r="AM2" s="69"/>
    </row>
    <row r="3" spans="1:44" x14ac:dyDescent="0.25">
      <c r="A3" s="38" t="s">
        <v>43</v>
      </c>
      <c r="B3" s="39">
        <v>25</v>
      </c>
      <c r="C3" s="39">
        <v>50</v>
      </c>
      <c r="D3" s="39">
        <v>56</v>
      </c>
      <c r="E3" s="39">
        <v>67.8</v>
      </c>
      <c r="F3" s="39">
        <v>100</v>
      </c>
      <c r="G3" s="39">
        <v>125</v>
      </c>
      <c r="H3" s="39">
        <v>150</v>
      </c>
      <c r="I3" s="40">
        <v>200</v>
      </c>
      <c r="J3" s="2">
        <v>250</v>
      </c>
      <c r="K3" s="2">
        <v>300</v>
      </c>
      <c r="N3" t="s">
        <v>46</v>
      </c>
      <c r="R3" s="23" t="s">
        <v>160</v>
      </c>
      <c r="S3" s="2">
        <v>25</v>
      </c>
      <c r="T3" s="2">
        <v>50</v>
      </c>
      <c r="U3" s="2">
        <v>56</v>
      </c>
      <c r="V3" s="2">
        <v>67.8</v>
      </c>
      <c r="W3" s="2">
        <v>100</v>
      </c>
      <c r="X3" s="2">
        <v>125</v>
      </c>
      <c r="Y3" s="2">
        <v>150</v>
      </c>
      <c r="Z3" s="2">
        <v>200</v>
      </c>
      <c r="AA3" s="2">
        <v>250</v>
      </c>
      <c r="AD3" s="23" t="s">
        <v>160</v>
      </c>
      <c r="AE3" s="2">
        <v>25</v>
      </c>
      <c r="AF3" s="2">
        <v>50</v>
      </c>
      <c r="AG3" s="2">
        <v>56</v>
      </c>
      <c r="AH3" s="2">
        <v>67.8</v>
      </c>
      <c r="AI3" s="2">
        <v>100</v>
      </c>
      <c r="AJ3" s="2">
        <v>125</v>
      </c>
      <c r="AK3" s="2">
        <v>150</v>
      </c>
      <c r="AL3" s="2">
        <v>200</v>
      </c>
      <c r="AM3" s="2">
        <v>250</v>
      </c>
      <c r="AO3" t="s">
        <v>121</v>
      </c>
      <c r="AP3" t="s">
        <v>115</v>
      </c>
      <c r="AQ3" t="s">
        <v>117</v>
      </c>
      <c r="AR3" t="s">
        <v>116</v>
      </c>
    </row>
    <row r="4" spans="1:44" x14ac:dyDescent="0.25">
      <c r="A4" s="41" t="s">
        <v>45</v>
      </c>
      <c r="B4" s="24">
        <f>(B3-7.799)/0.3691</f>
        <v>46.602546735302091</v>
      </c>
      <c r="C4" s="24">
        <f t="shared" ref="C4:H4" si="0">(C3-7.799)/0.3691</f>
        <v>114.33486859929559</v>
      </c>
      <c r="D4" s="24">
        <v>140</v>
      </c>
      <c r="E4" s="24">
        <v>170</v>
      </c>
      <c r="F4" s="24">
        <f t="shared" si="0"/>
        <v>249.79951232728257</v>
      </c>
      <c r="G4" s="24">
        <v>320</v>
      </c>
      <c r="H4" s="24">
        <f t="shared" si="0"/>
        <v>385.26415605526955</v>
      </c>
      <c r="I4" s="42">
        <f>(I3-7.799)/0.3691</f>
        <v>520.72879978325659</v>
      </c>
      <c r="J4" s="24">
        <f>(J3-7.799)/0.3691</f>
        <v>656.19344351124357</v>
      </c>
      <c r="K4" s="24">
        <f>(K3-7.799)/0.3691</f>
        <v>791.65808723923067</v>
      </c>
      <c r="L4" s="5" t="s">
        <v>48</v>
      </c>
      <c r="N4" t="s">
        <v>44</v>
      </c>
      <c r="R4" s="24" t="s">
        <v>45</v>
      </c>
      <c r="S4" s="24">
        <v>46.6</v>
      </c>
      <c r="T4" s="63">
        <v>114</v>
      </c>
      <c r="U4" s="24">
        <v>140</v>
      </c>
      <c r="V4" s="24">
        <v>170</v>
      </c>
      <c r="W4" s="63">
        <v>250</v>
      </c>
      <c r="X4" s="24">
        <v>320</v>
      </c>
      <c r="Y4" s="24">
        <v>385</v>
      </c>
      <c r="Z4" s="24">
        <f>(Z3-7.799)/0.3691</f>
        <v>520.72879978325659</v>
      </c>
      <c r="AA4" s="24">
        <f>(AA3-7.799)/0.3691</f>
        <v>656.19344351124357</v>
      </c>
      <c r="AD4" s="24" t="s">
        <v>45</v>
      </c>
      <c r="AE4" s="24">
        <v>46.6</v>
      </c>
      <c r="AF4" s="24">
        <v>114</v>
      </c>
      <c r="AG4" s="24">
        <v>140</v>
      </c>
      <c r="AH4" s="24">
        <v>170</v>
      </c>
      <c r="AI4" s="24">
        <v>250</v>
      </c>
      <c r="AJ4" s="24">
        <v>320</v>
      </c>
      <c r="AK4" s="24">
        <v>385</v>
      </c>
      <c r="AL4" s="24">
        <v>521</v>
      </c>
      <c r="AM4" s="24">
        <f>(AM3-7.799)/0.3691</f>
        <v>656.19344351124357</v>
      </c>
      <c r="AO4">
        <v>46.6</v>
      </c>
      <c r="AP4">
        <v>1485</v>
      </c>
      <c r="AQ4">
        <v>1395</v>
      </c>
      <c r="AR4">
        <v>1305</v>
      </c>
    </row>
    <row r="5" spans="1:44" x14ac:dyDescent="0.25">
      <c r="A5" s="43" t="s">
        <v>49</v>
      </c>
      <c r="B5" s="54">
        <v>8.39</v>
      </c>
      <c r="C5" s="2">
        <v>8.23</v>
      </c>
      <c r="D5" s="13">
        <f>(-0.00009)*$D$3*$D$3+(0.000001)*$D$3+8.4499</f>
        <v>8.1677159999999986</v>
      </c>
      <c r="E5" s="13">
        <f>(-0.00009)*$E$3*$E$3+(0.000001)*$E$3+8.4499</f>
        <v>8.0362521999999998</v>
      </c>
      <c r="F5" s="2">
        <v>7.56</v>
      </c>
      <c r="G5" s="55">
        <f>(-0.00009)*$G$3*$G$3+(0.000001)*$G$3+8.4499</f>
        <v>7.0437749999999992</v>
      </c>
      <c r="H5" s="55">
        <f>(-0.00009)*$H$3*$H$3+(0.000001)*$H$3+8.4499</f>
        <v>6.4250499999999988</v>
      </c>
      <c r="I5" s="44">
        <v>4.88</v>
      </c>
      <c r="J5" s="27">
        <f>(-0.00009)*$J$3*$J$3+(0.000001)*$J$3+8.4499</f>
        <v>2.8251499999999989</v>
      </c>
      <c r="K5">
        <v>0.41</v>
      </c>
      <c r="M5" t="s">
        <v>51</v>
      </c>
      <c r="R5" t="s">
        <v>101</v>
      </c>
      <c r="S5" s="11">
        <v>6.8599999999999994E-2</v>
      </c>
      <c r="T5">
        <v>0.15620000000000001</v>
      </c>
      <c r="U5" s="26">
        <v>0.189</v>
      </c>
      <c r="V5">
        <v>0.22739999999999999</v>
      </c>
      <c r="W5">
        <v>0.32940000000000003</v>
      </c>
      <c r="X5">
        <v>0.41820000000000002</v>
      </c>
      <c r="Y5">
        <v>0.49909999999999999</v>
      </c>
      <c r="Z5">
        <v>0.66920000000000002</v>
      </c>
      <c r="AA5" s="4">
        <f>0.63931</f>
        <v>0.63931000000000004</v>
      </c>
      <c r="AB5" t="s">
        <v>96</v>
      </c>
      <c r="AD5" t="s">
        <v>101</v>
      </c>
      <c r="AE5" s="6">
        <f t="shared" ref="AE5:AM5" si="1">S5*$AF$1</f>
        <v>20.58</v>
      </c>
      <c r="AF5" s="6">
        <f t="shared" si="1"/>
        <v>46.86</v>
      </c>
      <c r="AG5" s="6">
        <f t="shared" si="1"/>
        <v>56.7</v>
      </c>
      <c r="AH5" s="6">
        <f t="shared" si="1"/>
        <v>68.22</v>
      </c>
      <c r="AI5" s="6">
        <f t="shared" si="1"/>
        <v>98.820000000000007</v>
      </c>
      <c r="AJ5" s="6">
        <f t="shared" si="1"/>
        <v>125.46000000000001</v>
      </c>
      <c r="AK5" s="6">
        <f t="shared" si="1"/>
        <v>149.72999999999999</v>
      </c>
      <c r="AL5" s="6">
        <f t="shared" si="1"/>
        <v>200.76</v>
      </c>
      <c r="AM5" s="4">
        <f t="shared" si="1"/>
        <v>191.79300000000001</v>
      </c>
      <c r="AO5">
        <v>114</v>
      </c>
      <c r="AP5">
        <v>3465</v>
      </c>
      <c r="AQ5">
        <v>3240</v>
      </c>
      <c r="AR5">
        <v>3033</v>
      </c>
    </row>
    <row r="6" spans="1:44" x14ac:dyDescent="0.25">
      <c r="A6" s="43" t="s">
        <v>54</v>
      </c>
      <c r="B6" s="54">
        <v>7.89</v>
      </c>
      <c r="C6" s="2">
        <v>7.73</v>
      </c>
      <c r="D6" s="13">
        <f>(-0.00009)*$D$3*$D$3+(0.000001)*$D$3+7.9499</f>
        <v>7.6677160000000004</v>
      </c>
      <c r="E6" s="13">
        <f>(-0.00009)*$E$3*$E$3+(0.000001)*$E$3+7.9499</f>
        <v>7.5362522000000007</v>
      </c>
      <c r="F6" s="2">
        <v>7.06</v>
      </c>
      <c r="G6" s="55">
        <f>(-0.00009)*$G$3*$G$3+(0.000001)*$G$3+7.9499</f>
        <v>6.5437750000000001</v>
      </c>
      <c r="H6" s="55">
        <f>(-0.00009)*$H$3*$H$3+(0.000001)*$H$3+7.9499</f>
        <v>5.9250500000000006</v>
      </c>
      <c r="I6" s="45">
        <v>4.38</v>
      </c>
      <c r="J6" s="27">
        <f>(-0.00009)*$J$3*$J$3+(0.000001)*$J$3+7.9499</f>
        <v>2.3251499999999998</v>
      </c>
      <c r="K6">
        <v>-0.09</v>
      </c>
      <c r="M6" t="s">
        <v>52</v>
      </c>
      <c r="R6" t="s">
        <v>102</v>
      </c>
      <c r="S6" s="11">
        <v>6.83E-2</v>
      </c>
      <c r="T6">
        <v>0.15579999999999999</v>
      </c>
      <c r="U6" s="26">
        <v>0.18870000000000001</v>
      </c>
      <c r="V6" s="26">
        <v>0.22700000000000001</v>
      </c>
      <c r="W6">
        <v>0.3291</v>
      </c>
      <c r="X6">
        <v>0.4178</v>
      </c>
      <c r="Y6">
        <v>0.4985</v>
      </c>
      <c r="Z6">
        <v>0.66910000000000003</v>
      </c>
      <c r="AD6" t="s">
        <v>102</v>
      </c>
      <c r="AE6">
        <f t="shared" ref="AE6:AE10" si="2">S6*$AF$1</f>
        <v>20.49</v>
      </c>
      <c r="AF6" s="6">
        <f t="shared" ref="AF6:AG10" si="3">T6*$AF$1</f>
        <v>46.739999999999995</v>
      </c>
      <c r="AG6" s="6">
        <f t="shared" si="3"/>
        <v>56.61</v>
      </c>
      <c r="AH6" s="6">
        <f t="shared" ref="AH6:AH10" si="4">V6*$AF$1</f>
        <v>68.100000000000009</v>
      </c>
      <c r="AI6" s="6">
        <f t="shared" ref="AI6:AJ10" si="5">W6*$AF$1</f>
        <v>98.73</v>
      </c>
      <c r="AJ6" s="6">
        <f t="shared" si="5"/>
        <v>125.34</v>
      </c>
      <c r="AK6" s="6">
        <f t="shared" ref="AK6:AK10" si="6">Y6*$AF$1</f>
        <v>149.55000000000001</v>
      </c>
      <c r="AL6" s="6">
        <f t="shared" ref="AL6:AL10" si="7">Z6*$AF$1</f>
        <v>200.73000000000002</v>
      </c>
      <c r="AM6">
        <f t="shared" ref="AM6:AM10" si="8">AA6*$AF$1</f>
        <v>0</v>
      </c>
      <c r="AO6">
        <v>140</v>
      </c>
      <c r="AP6">
        <v>4173</v>
      </c>
      <c r="AQ6">
        <v>3903</v>
      </c>
      <c r="AR6">
        <v>3635.9999999999995</v>
      </c>
    </row>
    <row r="7" spans="1:44" x14ac:dyDescent="0.25">
      <c r="A7" s="43" t="s">
        <v>50</v>
      </c>
      <c r="B7" s="54">
        <v>7.39</v>
      </c>
      <c r="C7" s="8">
        <v>7.23</v>
      </c>
      <c r="D7" s="13">
        <f>(-0.00009)*$D$3*$D$3+(0.000001)*$D$3+7.4499</f>
        <v>7.1677160000000004</v>
      </c>
      <c r="E7" s="13">
        <f>(-0.00009)*$E$3*$E$3+(0.000001)*$E$3+7.4499</f>
        <v>7.0362522000000007</v>
      </c>
      <c r="F7" s="2">
        <v>6.56</v>
      </c>
      <c r="G7" s="55">
        <f>(-0.00009)*$G$3*$G$3+(0.000001)*$G$3+7.4499</f>
        <v>6.0437750000000001</v>
      </c>
      <c r="H7" s="55">
        <f>(-0.00009)*$H$3*$H$3+(0.000001)*$H$3+7.4499</f>
        <v>5.4250500000000006</v>
      </c>
      <c r="I7" s="45">
        <v>3.88</v>
      </c>
      <c r="J7" s="27">
        <f>(-0.00009)*$J$3*$J$3+(0.000001)*$J$3+7.4499</f>
        <v>1.8251499999999998</v>
      </c>
      <c r="K7">
        <v>-0.59</v>
      </c>
      <c r="M7" t="s">
        <v>53</v>
      </c>
      <c r="Q7" s="4"/>
      <c r="R7" t="s">
        <v>103</v>
      </c>
      <c r="S7" s="11">
        <v>6.8099999999999994E-2</v>
      </c>
      <c r="T7">
        <v>0.1555</v>
      </c>
      <c r="U7" s="26">
        <v>0.18840000000000001</v>
      </c>
      <c r="V7">
        <v>0.22670000000000001</v>
      </c>
      <c r="W7">
        <v>0.32869999999999999</v>
      </c>
      <c r="X7">
        <v>0.4173</v>
      </c>
      <c r="Y7">
        <v>0.49790000000000001</v>
      </c>
      <c r="Z7">
        <v>0.66869999999999996</v>
      </c>
      <c r="AD7" t="s">
        <v>103</v>
      </c>
      <c r="AE7">
        <f t="shared" si="2"/>
        <v>20.43</v>
      </c>
      <c r="AF7" s="6">
        <f t="shared" si="3"/>
        <v>46.65</v>
      </c>
      <c r="AG7" s="6">
        <f t="shared" si="3"/>
        <v>56.52</v>
      </c>
      <c r="AH7" s="6">
        <f t="shared" si="4"/>
        <v>68.010000000000005</v>
      </c>
      <c r="AI7" s="6">
        <f t="shared" si="5"/>
        <v>98.61</v>
      </c>
      <c r="AJ7" s="6">
        <f t="shared" si="5"/>
        <v>125.19</v>
      </c>
      <c r="AK7" s="6">
        <f t="shared" si="6"/>
        <v>149.37</v>
      </c>
      <c r="AL7" s="6">
        <f t="shared" si="7"/>
        <v>200.60999999999999</v>
      </c>
      <c r="AM7">
        <f t="shared" si="8"/>
        <v>0</v>
      </c>
      <c r="AO7">
        <v>170</v>
      </c>
      <c r="AP7">
        <v>4860</v>
      </c>
      <c r="AQ7">
        <v>4560</v>
      </c>
      <c r="AR7">
        <v>4200</v>
      </c>
    </row>
    <row r="8" spans="1:44" x14ac:dyDescent="0.25">
      <c r="A8" s="43" t="s">
        <v>55</v>
      </c>
      <c r="B8" s="54">
        <v>8.51</v>
      </c>
      <c r="C8" s="8">
        <v>8.67</v>
      </c>
      <c r="D8" s="13">
        <f>(0.00009)*$D$3*$D$3-(0.000001)*$D$3+8.4501</f>
        <v>8.7322839999999999</v>
      </c>
      <c r="E8" s="13">
        <f>(0.00009)*$E$3*$E$3-(0.000001)*$E$3+8.4501</f>
        <v>8.8637478000000005</v>
      </c>
      <c r="F8" s="2">
        <v>9.34</v>
      </c>
      <c r="G8" s="55">
        <f>(0.00009)*$G$3*$G$3-(0.000001)*$G$3+8.4501</f>
        <v>9.856225000000002</v>
      </c>
      <c r="H8" s="55">
        <f>(0.00009)*$H$3*$H$3-(0.000001)*$H$3+8.4501</f>
        <v>10.474950000000002</v>
      </c>
      <c r="I8" s="45">
        <v>12.02</v>
      </c>
      <c r="J8" s="27">
        <f>(0.00009)*$J$3*$J$3-(0.000001)*$J$3+8.4501</f>
        <v>14.074850000000001</v>
      </c>
      <c r="K8">
        <v>16.489999999999998</v>
      </c>
      <c r="M8" t="s">
        <v>58</v>
      </c>
      <c r="R8" t="s">
        <v>104</v>
      </c>
      <c r="S8" s="11">
        <v>5.2109999999999997E-2</v>
      </c>
      <c r="T8">
        <v>0.1394</v>
      </c>
      <c r="U8" s="26">
        <v>0.1729</v>
      </c>
      <c r="V8">
        <v>0.21149999999999999</v>
      </c>
      <c r="W8">
        <v>0.31209999999999999</v>
      </c>
      <c r="Y8">
        <v>0.48520000000000002</v>
      </c>
      <c r="Z8">
        <v>0.65920000000000001</v>
      </c>
      <c r="AD8" t="s">
        <v>104</v>
      </c>
      <c r="AE8">
        <f t="shared" si="2"/>
        <v>15.632999999999999</v>
      </c>
      <c r="AF8">
        <f t="shared" si="3"/>
        <v>41.82</v>
      </c>
      <c r="AG8">
        <f t="shared" si="3"/>
        <v>51.87</v>
      </c>
      <c r="AH8" s="6">
        <f t="shared" si="4"/>
        <v>63.449999999999996</v>
      </c>
      <c r="AI8">
        <f t="shared" si="5"/>
        <v>93.63</v>
      </c>
      <c r="AK8" s="6">
        <f t="shared" si="6"/>
        <v>145.56</v>
      </c>
      <c r="AL8" s="6">
        <f t="shared" si="7"/>
        <v>197.76</v>
      </c>
      <c r="AM8">
        <f t="shared" si="8"/>
        <v>0</v>
      </c>
      <c r="AO8">
        <v>250</v>
      </c>
      <c r="AP8">
        <v>6102</v>
      </c>
      <c r="AQ8">
        <v>5610</v>
      </c>
      <c r="AR8">
        <v>5160</v>
      </c>
    </row>
    <row r="9" spans="1:44" x14ac:dyDescent="0.25">
      <c r="A9" s="43" t="s">
        <v>56</v>
      </c>
      <c r="B9" s="56">
        <v>8.01</v>
      </c>
      <c r="C9" s="8">
        <v>8.17</v>
      </c>
      <c r="D9" s="13">
        <f>(0.00009)*$D$3*$D$3-(0.000001)*$D$3+7.9501</f>
        <v>8.2322839999999999</v>
      </c>
      <c r="E9" s="13">
        <f>(0.00009)*$E$3*$E$3-(0.000001)*$E$3+7.9501</f>
        <v>8.3637478000000005</v>
      </c>
      <c r="F9" s="2">
        <v>8.84</v>
      </c>
      <c r="G9" s="55">
        <f>(0.00009)*$G$3*$G$3-(0.000001)*$G$3+7.9501</f>
        <v>9.3562250000000002</v>
      </c>
      <c r="H9" s="55">
        <f>(0.00009)*$H$3*$H$3-(0.000001)*$H$3+7.9501</f>
        <v>9.9749499999999998</v>
      </c>
      <c r="I9" s="45">
        <v>11.52</v>
      </c>
      <c r="J9" s="27">
        <f>(0.00009)*$J$3*$J$3-(0.000001)*$J$3+7.9501</f>
        <v>13.574850000000001</v>
      </c>
      <c r="K9">
        <v>15.99</v>
      </c>
      <c r="M9" t="s">
        <v>59</v>
      </c>
      <c r="R9" t="s">
        <v>105</v>
      </c>
      <c r="S9" s="11">
        <v>5.2330000000000002E-2</v>
      </c>
      <c r="T9">
        <v>0.13969999999999999</v>
      </c>
      <c r="U9" s="26">
        <v>0.17319999999999999</v>
      </c>
      <c r="V9">
        <v>0.2117</v>
      </c>
      <c r="W9">
        <v>0.31240000000000001</v>
      </c>
      <c r="Y9">
        <v>0.4854</v>
      </c>
      <c r="Z9">
        <v>0.65949999999999998</v>
      </c>
      <c r="AD9" t="s">
        <v>105</v>
      </c>
      <c r="AE9">
        <f t="shared" si="2"/>
        <v>15.699</v>
      </c>
      <c r="AF9">
        <f t="shared" si="3"/>
        <v>41.91</v>
      </c>
      <c r="AG9">
        <f t="shared" si="3"/>
        <v>51.96</v>
      </c>
      <c r="AH9" s="6">
        <f t="shared" si="4"/>
        <v>63.51</v>
      </c>
      <c r="AI9">
        <f t="shared" si="5"/>
        <v>93.72</v>
      </c>
      <c r="AK9" s="6">
        <f t="shared" si="6"/>
        <v>145.62</v>
      </c>
      <c r="AL9" s="6">
        <f t="shared" si="7"/>
        <v>197.85</v>
      </c>
      <c r="AM9">
        <f t="shared" si="8"/>
        <v>0</v>
      </c>
      <c r="AO9">
        <v>320</v>
      </c>
      <c r="AP9">
        <v>6353.0999999999995</v>
      </c>
      <c r="AQ9">
        <v>5743.2</v>
      </c>
      <c r="AR9">
        <v>5119.5</v>
      </c>
    </row>
    <row r="10" spans="1:44" ht="15.75" thickBot="1" x14ac:dyDescent="0.3">
      <c r="A10" s="46" t="s">
        <v>57</v>
      </c>
      <c r="B10" s="47">
        <v>7.51</v>
      </c>
      <c r="C10" s="48">
        <v>7.67</v>
      </c>
      <c r="D10" s="57">
        <f>(0.00009)*$D$3*$D$3-(0.000001)*$D$3+7.4501</f>
        <v>7.7322839999999999</v>
      </c>
      <c r="E10" s="57">
        <f>(0.00009)*$E$3*$E$3-(0.000001)*$E$3+7.4501</f>
        <v>7.8637477999999996</v>
      </c>
      <c r="F10" s="49">
        <v>8.34</v>
      </c>
      <c r="G10" s="50">
        <f>(0.00009)*$G$3*$G$3-(0.000001)*$G$3+7.4501</f>
        <v>8.8562250000000002</v>
      </c>
      <c r="H10" s="50">
        <f>(0.00009)*$H$3*$H$3-(0.000001)*$H$3+7.4501</f>
        <v>9.4749499999999998</v>
      </c>
      <c r="I10" s="51">
        <v>11.02</v>
      </c>
      <c r="J10" s="27">
        <f>(0.00009)*$J$3*$J$3-(0.000001)*$J$3+7.4501</f>
        <v>13.074850000000001</v>
      </c>
      <c r="K10">
        <v>15.49</v>
      </c>
      <c r="M10" t="s">
        <v>60</v>
      </c>
      <c r="R10" t="s">
        <v>106</v>
      </c>
      <c r="S10" s="11">
        <v>5.2549999999999999E-2</v>
      </c>
      <c r="T10" s="26">
        <v>0.14000000000000001</v>
      </c>
      <c r="U10" s="26">
        <v>0.17349999999999999</v>
      </c>
      <c r="V10" s="26">
        <v>0.21210000000000001</v>
      </c>
      <c r="W10">
        <v>0.31269999999999998</v>
      </c>
      <c r="Y10">
        <v>0.48570000000000002</v>
      </c>
      <c r="Z10">
        <v>0.65969999999999995</v>
      </c>
      <c r="AD10" t="s">
        <v>106</v>
      </c>
      <c r="AE10">
        <f t="shared" si="2"/>
        <v>15.765000000000001</v>
      </c>
      <c r="AF10">
        <f t="shared" si="3"/>
        <v>42.000000000000007</v>
      </c>
      <c r="AG10">
        <f t="shared" si="3"/>
        <v>52.05</v>
      </c>
      <c r="AH10" s="6">
        <f t="shared" si="4"/>
        <v>63.63</v>
      </c>
      <c r="AI10">
        <f t="shared" si="5"/>
        <v>93.809999999999988</v>
      </c>
      <c r="AK10" s="6">
        <f t="shared" si="6"/>
        <v>145.71</v>
      </c>
      <c r="AL10" s="6">
        <f t="shared" si="7"/>
        <v>197.91</v>
      </c>
      <c r="AM10">
        <f t="shared" si="8"/>
        <v>0</v>
      </c>
      <c r="AO10">
        <v>385</v>
      </c>
      <c r="AP10">
        <v>5520</v>
      </c>
      <c r="AQ10">
        <v>4680</v>
      </c>
      <c r="AR10">
        <v>3960</v>
      </c>
    </row>
    <row r="11" spans="1:44" x14ac:dyDescent="0.25">
      <c r="D11" s="1" t="s">
        <v>27</v>
      </c>
      <c r="E11" s="1" t="s">
        <v>27</v>
      </c>
      <c r="G11" s="1" t="s">
        <v>27</v>
      </c>
      <c r="H11" s="1" t="s">
        <v>27</v>
      </c>
      <c r="J11" s="1" t="s">
        <v>27</v>
      </c>
      <c r="S11" s="69" t="s">
        <v>93</v>
      </c>
      <c r="T11" s="69"/>
      <c r="U11" s="69"/>
      <c r="V11" s="69"/>
      <c r="W11" s="69"/>
      <c r="X11" s="69"/>
      <c r="Y11" s="69"/>
      <c r="Z11" s="69"/>
      <c r="AA11" s="69"/>
      <c r="AE11" s="73"/>
      <c r="AF11" s="73"/>
      <c r="AG11" s="73"/>
      <c r="AH11" s="73"/>
      <c r="AI11" s="73"/>
      <c r="AJ11" s="73"/>
      <c r="AK11" s="73"/>
      <c r="AL11" s="73"/>
      <c r="AM11" s="73"/>
      <c r="AO11">
        <v>521</v>
      </c>
      <c r="AP11">
        <v>0</v>
      </c>
      <c r="AQ11">
        <v>-1050</v>
      </c>
      <c r="AR11">
        <v>-2100</v>
      </c>
    </row>
    <row r="12" spans="1:44" x14ac:dyDescent="0.25">
      <c r="A12" t="s">
        <v>86</v>
      </c>
      <c r="B12" s="25">
        <f>B5/10197.162129779*1000</f>
        <v>0.82277793500002283</v>
      </c>
      <c r="C12" s="25">
        <f t="shared" ref="C12:K12" si="9">C5/10197.162129779*1000</f>
        <v>0.8070872950000223</v>
      </c>
      <c r="D12" s="25">
        <f t="shared" ref="D12" si="10">D5/10197.162129779*1000</f>
        <v>0.80097932111402204</v>
      </c>
      <c r="E12" s="25">
        <f t="shared" si="9"/>
        <v>0.78808712637132172</v>
      </c>
      <c r="F12" s="25">
        <f t="shared" si="9"/>
        <v>0.74138274000002047</v>
      </c>
      <c r="G12" s="25">
        <f t="shared" ref="G12" si="11">G5/10197.162129779*1000</f>
        <v>0.69075836103751898</v>
      </c>
      <c r="H12" s="25">
        <f t="shared" si="9"/>
        <v>0.6300821658250173</v>
      </c>
      <c r="I12" s="25">
        <f t="shared" si="9"/>
        <v>0.4785645200000132</v>
      </c>
      <c r="J12" s="25">
        <f t="shared" si="9"/>
        <v>0.27705257247500759</v>
      </c>
      <c r="K12" s="25">
        <f t="shared" si="9"/>
        <v>4.0207265000001109E-2</v>
      </c>
      <c r="R12" t="s">
        <v>101</v>
      </c>
      <c r="S12" s="53">
        <v>0.875</v>
      </c>
      <c r="T12" s="37">
        <v>0.91400000000000003</v>
      </c>
      <c r="U12" s="10">
        <v>0.91600000000000004</v>
      </c>
      <c r="V12" s="19">
        <v>0.90200000000000002</v>
      </c>
      <c r="W12" s="18">
        <v>0.83</v>
      </c>
      <c r="X12" s="18">
        <v>0.72499999999999998</v>
      </c>
      <c r="Y12" s="18">
        <v>0.57999999999999996</v>
      </c>
      <c r="Z12" s="18">
        <v>0</v>
      </c>
      <c r="AA12" s="36">
        <v>-1.9</v>
      </c>
      <c r="AM12" s="18"/>
    </row>
    <row r="13" spans="1:44" x14ac:dyDescent="0.25">
      <c r="A13" t="s">
        <v>87</v>
      </c>
      <c r="B13" s="25">
        <f t="shared" ref="B13:K13" si="12">B6/10197.162129779*1000</f>
        <v>0.77374468500002136</v>
      </c>
      <c r="C13" s="25">
        <f t="shared" si="12"/>
        <v>0.75805404500002094</v>
      </c>
      <c r="D13" s="25">
        <f t="shared" ref="D13" si="13">D6/10197.162129779*1000</f>
        <v>0.75194607111402079</v>
      </c>
      <c r="E13" s="25">
        <f t="shared" si="12"/>
        <v>0.73905387637132047</v>
      </c>
      <c r="F13" s="25">
        <f t="shared" si="12"/>
        <v>0.69234949000001911</v>
      </c>
      <c r="G13" s="25">
        <f t="shared" ref="G13" si="14">G6/10197.162129779*1000</f>
        <v>0.64172511103751773</v>
      </c>
      <c r="H13" s="25">
        <f t="shared" si="12"/>
        <v>0.58104891582501605</v>
      </c>
      <c r="I13" s="25">
        <f t="shared" si="12"/>
        <v>0.42953127000001184</v>
      </c>
      <c r="J13" s="25">
        <f t="shared" si="12"/>
        <v>0.22801932247500628</v>
      </c>
      <c r="K13" s="25">
        <f t="shared" si="12"/>
        <v>-8.8259850000002426E-3</v>
      </c>
      <c r="R13" t="s">
        <v>102</v>
      </c>
      <c r="S13" s="53">
        <v>0.877</v>
      </c>
      <c r="T13" s="19">
        <v>0.91300000000000003</v>
      </c>
      <c r="U13" s="10">
        <v>0.91500000000000004</v>
      </c>
      <c r="V13" s="19">
        <v>0.89900000000000002</v>
      </c>
      <c r="W13" s="18">
        <v>0.82</v>
      </c>
      <c r="X13" s="18">
        <v>0.71099999999999997</v>
      </c>
      <c r="Y13">
        <v>54</v>
      </c>
      <c r="Z13" s="18">
        <v>-0.12</v>
      </c>
    </row>
    <row r="14" spans="1:44" x14ac:dyDescent="0.25">
      <c r="A14" t="s">
        <v>88</v>
      </c>
      <c r="B14" s="25">
        <f t="shared" ref="B14:K14" si="15">B7/10197.162129779*1000</f>
        <v>0.72471143500002</v>
      </c>
      <c r="C14" s="25">
        <f t="shared" si="15"/>
        <v>0.70902079500001969</v>
      </c>
      <c r="D14" s="25">
        <f t="shared" ref="D14" si="16">D7/10197.162129779*1000</f>
        <v>0.70291282111401943</v>
      </c>
      <c r="E14" s="25">
        <f t="shared" si="15"/>
        <v>0.69002062637131911</v>
      </c>
      <c r="F14" s="25">
        <f t="shared" si="15"/>
        <v>0.64331624000001775</v>
      </c>
      <c r="G14" s="25">
        <f t="shared" ref="G14" si="17">G7/10197.162129779*1000</f>
        <v>0.59269186103751637</v>
      </c>
      <c r="H14" s="25">
        <f t="shared" si="15"/>
        <v>0.53201566582501469</v>
      </c>
      <c r="I14" s="25">
        <f t="shared" si="15"/>
        <v>0.38049802000001048</v>
      </c>
      <c r="J14" s="25">
        <f t="shared" si="15"/>
        <v>0.17898607247500492</v>
      </c>
      <c r="K14" s="25">
        <f t="shared" si="15"/>
        <v>-5.7859235000001598E-2</v>
      </c>
      <c r="Q14" s="4"/>
      <c r="R14" t="s">
        <v>103</v>
      </c>
      <c r="S14" s="53">
        <v>0.879</v>
      </c>
      <c r="T14" s="19">
        <v>0.91200000000000003</v>
      </c>
      <c r="U14" s="10">
        <v>0.91300000000000003</v>
      </c>
      <c r="V14" s="19">
        <v>0.89700000000000002</v>
      </c>
      <c r="W14" s="19">
        <v>0.80900000000000005</v>
      </c>
      <c r="X14" s="19">
        <v>0.68300000000000005</v>
      </c>
      <c r="Y14" s="19">
        <v>0.498</v>
      </c>
      <c r="Z14" s="18">
        <v>-0.27</v>
      </c>
    </row>
    <row r="15" spans="1:44" x14ac:dyDescent="0.25">
      <c r="A15" t="s">
        <v>89</v>
      </c>
      <c r="B15" s="25">
        <f t="shared" ref="B15:K15" si="18">B8/10197.162129779*1000</f>
        <v>0.83454591500002306</v>
      </c>
      <c r="C15" s="25">
        <f t="shared" si="18"/>
        <v>0.85023655500002349</v>
      </c>
      <c r="D15" s="25">
        <f t="shared" ref="D15" si="19">D8/10197.162129779*1000</f>
        <v>0.85634452888602364</v>
      </c>
      <c r="E15" s="25">
        <f t="shared" si="18"/>
        <v>0.86923672362872417</v>
      </c>
      <c r="F15" s="25">
        <f t="shared" si="18"/>
        <v>0.91594111000002532</v>
      </c>
      <c r="G15" s="25"/>
      <c r="H15" s="25">
        <f t="shared" si="18"/>
        <v>1.0272416841750287</v>
      </c>
      <c r="I15" s="25">
        <f t="shared" si="18"/>
        <v>1.1787593300000325</v>
      </c>
      <c r="J15" s="25">
        <f t="shared" si="18"/>
        <v>1.3802712775250383</v>
      </c>
      <c r="K15" s="25">
        <f t="shared" si="18"/>
        <v>1.6171165850000446</v>
      </c>
      <c r="O15" s="1" t="s">
        <v>157</v>
      </c>
      <c r="P15" s="1"/>
      <c r="R15" t="s">
        <v>104</v>
      </c>
      <c r="S15" s="53">
        <v>0.85599999999999998</v>
      </c>
      <c r="T15" s="64">
        <v>0.90600000000000003</v>
      </c>
      <c r="U15" s="10">
        <v>0.91600000000000004</v>
      </c>
      <c r="V15" s="19">
        <v>0.91</v>
      </c>
      <c r="W15" s="19">
        <v>0.86299999999999999</v>
      </c>
      <c r="X15" s="19"/>
      <c r="Y15" s="19">
        <v>0.79300000000000004</v>
      </c>
      <c r="Z15" s="19">
        <v>0.72899999999999998</v>
      </c>
    </row>
    <row r="16" spans="1:44" x14ac:dyDescent="0.25">
      <c r="A16" t="s">
        <v>90</v>
      </c>
      <c r="B16" s="25">
        <f t="shared" ref="B16:K16" si="20">B9/10197.162129779*1000</f>
        <v>0.7855126650000217</v>
      </c>
      <c r="C16" s="25">
        <f t="shared" si="20"/>
        <v>0.80120330500002213</v>
      </c>
      <c r="D16" s="25">
        <f t="shared" ref="D16" si="21">D9/10197.162129779*1000</f>
        <v>0.80731127888602228</v>
      </c>
      <c r="E16" s="25">
        <f t="shared" si="20"/>
        <v>0.8202034736287227</v>
      </c>
      <c r="F16" s="25">
        <f t="shared" si="20"/>
        <v>0.86690786000002396</v>
      </c>
      <c r="G16" s="25"/>
      <c r="H16" s="25">
        <f t="shared" si="20"/>
        <v>0.97820843417502701</v>
      </c>
      <c r="I16" s="25">
        <f t="shared" si="20"/>
        <v>1.1297260800000311</v>
      </c>
      <c r="J16" s="25">
        <f t="shared" si="20"/>
        <v>1.3312380275250368</v>
      </c>
      <c r="K16" s="25">
        <f t="shared" si="20"/>
        <v>1.5680833350000434</v>
      </c>
      <c r="O16" s="1" t="s">
        <v>158</v>
      </c>
      <c r="P16" s="1"/>
      <c r="R16" t="s">
        <v>105</v>
      </c>
      <c r="S16" s="53">
        <v>0.86</v>
      </c>
      <c r="T16" s="64">
        <v>0.90800000000000003</v>
      </c>
      <c r="U16" s="10">
        <v>0.91449999999999998</v>
      </c>
      <c r="V16" s="19">
        <v>0.90800000000000003</v>
      </c>
      <c r="W16" s="19">
        <v>0.85799999999999998</v>
      </c>
      <c r="X16" s="19"/>
      <c r="Y16" s="19">
        <v>0.78300000000000003</v>
      </c>
      <c r="Z16" s="19">
        <v>0.72199999999999998</v>
      </c>
    </row>
    <row r="17" spans="1:44" x14ac:dyDescent="0.25">
      <c r="A17" t="s">
        <v>91</v>
      </c>
      <c r="B17" s="25">
        <f t="shared" ref="B17:K17" si="22">B10/10197.162129779*1000</f>
        <v>0.73647941500002034</v>
      </c>
      <c r="C17" s="25">
        <f t="shared" si="22"/>
        <v>0.75217005500002077</v>
      </c>
      <c r="D17" s="25">
        <f t="shared" ref="D17" si="23">D10/10197.162129779*1000</f>
        <v>0.75827802888602103</v>
      </c>
      <c r="E17" s="25">
        <f t="shared" si="22"/>
        <v>0.77117022362872123</v>
      </c>
      <c r="F17" s="25">
        <f t="shared" si="22"/>
        <v>0.81787461000002259</v>
      </c>
      <c r="G17" s="25"/>
      <c r="H17" s="25">
        <f t="shared" si="22"/>
        <v>0.92917518417502565</v>
      </c>
      <c r="I17" s="25">
        <f t="shared" si="22"/>
        <v>1.0806928300000298</v>
      </c>
      <c r="J17" s="25">
        <f t="shared" si="22"/>
        <v>1.2822047775250356</v>
      </c>
      <c r="K17" s="25">
        <f t="shared" si="22"/>
        <v>1.5190500850000421</v>
      </c>
      <c r="R17" t="s">
        <v>106</v>
      </c>
      <c r="S17" s="53">
        <v>0.86399999999999999</v>
      </c>
      <c r="T17" s="64">
        <v>0.91</v>
      </c>
      <c r="U17" s="10">
        <v>0.91300000000000003</v>
      </c>
      <c r="V17" s="19">
        <v>0.90600000000000003</v>
      </c>
      <c r="W17" s="19">
        <v>0.85499999999999998</v>
      </c>
      <c r="X17" s="19"/>
      <c r="Y17" s="19">
        <v>0.77600000000000002</v>
      </c>
      <c r="Z17" s="19">
        <v>0.71499999999999997</v>
      </c>
    </row>
    <row r="18" spans="1:44" x14ac:dyDescent="0.25">
      <c r="S18" s="69" t="s">
        <v>113</v>
      </c>
      <c r="T18" s="69"/>
      <c r="U18" s="69"/>
      <c r="V18" s="69"/>
      <c r="W18" s="69"/>
      <c r="X18" s="69"/>
      <c r="Y18" s="69"/>
      <c r="Z18" s="69"/>
      <c r="AA18" s="69"/>
      <c r="AE18" s="69" t="s">
        <v>94</v>
      </c>
      <c r="AF18" s="69"/>
      <c r="AG18" s="69"/>
      <c r="AH18" s="69"/>
      <c r="AI18" s="69"/>
      <c r="AJ18" s="69"/>
      <c r="AK18" s="69"/>
      <c r="AL18" s="69"/>
      <c r="AM18" s="69"/>
    </row>
    <row r="19" spans="1:44" x14ac:dyDescent="0.25">
      <c r="R19" t="s">
        <v>101</v>
      </c>
      <c r="S19" s="11">
        <v>4.95</v>
      </c>
      <c r="T19">
        <v>11.55</v>
      </c>
      <c r="U19">
        <v>13.91</v>
      </c>
      <c r="V19">
        <v>16.2</v>
      </c>
      <c r="W19">
        <v>20.34</v>
      </c>
      <c r="X19">
        <v>21.177</v>
      </c>
      <c r="Y19">
        <v>18.399999999999999</v>
      </c>
      <c r="Z19">
        <v>0</v>
      </c>
      <c r="AA19" s="4">
        <v>-44</v>
      </c>
      <c r="AB19" t="s">
        <v>95</v>
      </c>
      <c r="AD19" t="s">
        <v>101</v>
      </c>
      <c r="AE19">
        <f>S19*$AF$1</f>
        <v>1485</v>
      </c>
      <c r="AF19">
        <f>T19*$AF$1</f>
        <v>3465</v>
      </c>
      <c r="AG19">
        <f>U19*$AF$1</f>
        <v>4173</v>
      </c>
      <c r="AH19">
        <f>V19*$AF$1</f>
        <v>4860</v>
      </c>
      <c r="AI19">
        <f t="shared" ref="AI19:AJ24" si="24">W19*$AF$1</f>
        <v>6102</v>
      </c>
      <c r="AJ19">
        <f t="shared" si="24"/>
        <v>6353.0999999999995</v>
      </c>
      <c r="AK19">
        <f t="shared" ref="AK19:AK24" si="25">Y19*$AF$1</f>
        <v>5520</v>
      </c>
      <c r="AL19">
        <f t="shared" ref="AL19:AL24" si="26">Z19*$AF$1</f>
        <v>0</v>
      </c>
      <c r="AM19" s="4">
        <f t="shared" ref="AM19:AM24" si="27">AA19*$AF$1</f>
        <v>-13200</v>
      </c>
      <c r="AO19" t="s">
        <v>121</v>
      </c>
      <c r="AP19" t="s">
        <v>118</v>
      </c>
      <c r="AQ19" t="s">
        <v>119</v>
      </c>
      <c r="AR19" t="s">
        <v>120</v>
      </c>
    </row>
    <row r="20" spans="1:44" x14ac:dyDescent="0.25">
      <c r="R20" t="s">
        <v>102</v>
      </c>
      <c r="S20" s="11">
        <v>4.6500000000000004</v>
      </c>
      <c r="T20">
        <v>10.8</v>
      </c>
      <c r="U20">
        <v>13.01</v>
      </c>
      <c r="V20">
        <v>15.2</v>
      </c>
      <c r="W20">
        <v>18.7</v>
      </c>
      <c r="X20">
        <v>19.143999999999998</v>
      </c>
      <c r="Y20">
        <v>15.6</v>
      </c>
      <c r="Z20" s="4">
        <v>-3.5</v>
      </c>
      <c r="AD20" t="s">
        <v>102</v>
      </c>
      <c r="AE20">
        <f t="shared" ref="AE20:AE24" si="28">S20*$AF$1</f>
        <v>1395</v>
      </c>
      <c r="AF20">
        <f t="shared" ref="AF20:AH24" si="29">T20*$AF$1</f>
        <v>3240</v>
      </c>
      <c r="AG20">
        <f t="shared" si="29"/>
        <v>3903</v>
      </c>
      <c r="AH20">
        <f t="shared" si="29"/>
        <v>4560</v>
      </c>
      <c r="AI20">
        <f t="shared" si="24"/>
        <v>5610</v>
      </c>
      <c r="AJ20">
        <f t="shared" si="24"/>
        <v>5743.2</v>
      </c>
      <c r="AK20">
        <f t="shared" si="25"/>
        <v>4680</v>
      </c>
      <c r="AL20">
        <f t="shared" si="26"/>
        <v>-1050</v>
      </c>
      <c r="AM20">
        <f t="shared" si="27"/>
        <v>0</v>
      </c>
      <c r="AO20" s="58">
        <v>46.602546735302091</v>
      </c>
      <c r="AP20">
        <v>1524</v>
      </c>
      <c r="AQ20">
        <v>1437</v>
      </c>
      <c r="AR20">
        <v>1347</v>
      </c>
    </row>
    <row r="21" spans="1:44" ht="15" customHeight="1" x14ac:dyDescent="0.25">
      <c r="A21" s="72" t="s">
        <v>47</v>
      </c>
      <c r="B21" s="72"/>
      <c r="C21" s="72"/>
      <c r="D21" s="72"/>
      <c r="E21" s="72"/>
      <c r="F21" s="72"/>
      <c r="G21" s="72"/>
      <c r="H21" s="72"/>
      <c r="I21" s="72"/>
      <c r="J21" s="72"/>
      <c r="Q21" s="4"/>
      <c r="R21" t="s">
        <v>103</v>
      </c>
      <c r="S21" s="11">
        <v>4.3499999999999996</v>
      </c>
      <c r="T21">
        <v>10.11</v>
      </c>
      <c r="U21">
        <v>12.12</v>
      </c>
      <c r="V21" s="58">
        <v>14</v>
      </c>
      <c r="W21">
        <v>17.2</v>
      </c>
      <c r="X21">
        <v>17.065000000000001</v>
      </c>
      <c r="Y21">
        <v>13.2</v>
      </c>
      <c r="Z21" s="4">
        <v>-7</v>
      </c>
      <c r="AD21" t="s">
        <v>103</v>
      </c>
      <c r="AE21">
        <f t="shared" si="28"/>
        <v>1305</v>
      </c>
      <c r="AF21">
        <f t="shared" si="29"/>
        <v>3033</v>
      </c>
      <c r="AG21">
        <f t="shared" si="29"/>
        <v>3635.9999999999995</v>
      </c>
      <c r="AH21">
        <f t="shared" si="29"/>
        <v>4200</v>
      </c>
      <c r="AI21">
        <f t="shared" si="24"/>
        <v>5160</v>
      </c>
      <c r="AJ21">
        <f t="shared" si="24"/>
        <v>5119.5</v>
      </c>
      <c r="AK21">
        <f t="shared" si="25"/>
        <v>3960</v>
      </c>
      <c r="AL21">
        <f t="shared" si="26"/>
        <v>-2100</v>
      </c>
      <c r="AM21">
        <f t="shared" si="27"/>
        <v>0</v>
      </c>
      <c r="AO21" s="58">
        <v>114</v>
      </c>
      <c r="AP21">
        <v>3894</v>
      </c>
      <c r="AQ21">
        <v>3678</v>
      </c>
      <c r="AR21">
        <v>3459</v>
      </c>
    </row>
    <row r="22" spans="1:44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R22" t="s">
        <v>104</v>
      </c>
      <c r="S22" s="11">
        <v>5.08</v>
      </c>
      <c r="T22">
        <v>12.98</v>
      </c>
      <c r="U22">
        <v>16.23</v>
      </c>
      <c r="V22">
        <v>20.3</v>
      </c>
      <c r="W22">
        <v>33.5</v>
      </c>
      <c r="Y22">
        <v>64.7</v>
      </c>
      <c r="Z22">
        <v>112</v>
      </c>
      <c r="AD22" t="s">
        <v>104</v>
      </c>
      <c r="AE22">
        <f t="shared" si="28"/>
        <v>1524</v>
      </c>
      <c r="AF22">
        <f t="shared" si="29"/>
        <v>3894</v>
      </c>
      <c r="AG22">
        <f t="shared" si="29"/>
        <v>4869</v>
      </c>
      <c r="AH22">
        <f t="shared" si="29"/>
        <v>6090</v>
      </c>
      <c r="AI22">
        <f t="shared" si="24"/>
        <v>10050</v>
      </c>
      <c r="AJ22">
        <f t="shared" si="24"/>
        <v>0</v>
      </c>
      <c r="AK22">
        <f t="shared" si="25"/>
        <v>19410</v>
      </c>
      <c r="AL22">
        <f>Z22*$AF$1</f>
        <v>33600</v>
      </c>
      <c r="AM22">
        <f t="shared" si="27"/>
        <v>0</v>
      </c>
      <c r="AO22" s="58">
        <v>170</v>
      </c>
      <c r="AP22">
        <v>6090</v>
      </c>
      <c r="AQ22">
        <v>5790</v>
      </c>
      <c r="AR22">
        <v>5460</v>
      </c>
    </row>
    <row r="23" spans="1:44" x14ac:dyDescent="0.25">
      <c r="A23" s="71" t="s">
        <v>72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R23" t="s">
        <v>105</v>
      </c>
      <c r="S23" s="11">
        <v>4.79</v>
      </c>
      <c r="T23">
        <v>12.26</v>
      </c>
      <c r="U23">
        <v>15.36</v>
      </c>
      <c r="V23">
        <v>19.3</v>
      </c>
      <c r="W23">
        <v>31.9</v>
      </c>
      <c r="Y23">
        <v>62.4</v>
      </c>
      <c r="Z23">
        <v>108.8</v>
      </c>
      <c r="AD23" t="s">
        <v>105</v>
      </c>
      <c r="AE23">
        <f t="shared" si="28"/>
        <v>1437</v>
      </c>
      <c r="AF23">
        <f t="shared" si="29"/>
        <v>3678</v>
      </c>
      <c r="AG23">
        <f t="shared" si="29"/>
        <v>4608</v>
      </c>
      <c r="AH23">
        <f t="shared" si="29"/>
        <v>5790</v>
      </c>
      <c r="AI23">
        <f t="shared" si="24"/>
        <v>9570</v>
      </c>
      <c r="AJ23">
        <f t="shared" si="24"/>
        <v>0</v>
      </c>
      <c r="AK23">
        <f t="shared" si="25"/>
        <v>18720</v>
      </c>
      <c r="AL23">
        <f>Z23*$AF$1</f>
        <v>32640</v>
      </c>
      <c r="AM23">
        <f t="shared" si="27"/>
        <v>0</v>
      </c>
      <c r="AO23" s="58">
        <v>250</v>
      </c>
      <c r="AP23">
        <v>10050</v>
      </c>
      <c r="AQ23">
        <v>9570</v>
      </c>
      <c r="AR23">
        <v>9090</v>
      </c>
    </row>
    <row r="24" spans="1:44" x14ac:dyDescent="0.25">
      <c r="A24" s="21" t="s">
        <v>5</v>
      </c>
      <c r="B24" s="21"/>
      <c r="C24" s="21">
        <v>0.5</v>
      </c>
      <c r="D24" s="21" t="s">
        <v>6</v>
      </c>
      <c r="E24" s="7"/>
      <c r="F24" s="7"/>
      <c r="G24" s="7"/>
      <c r="H24" s="21" t="s">
        <v>12</v>
      </c>
      <c r="I24" s="21"/>
      <c r="J24" s="21"/>
      <c r="N24" s="15"/>
      <c r="O24" s="15"/>
      <c r="P24" s="15"/>
      <c r="Q24" s="15"/>
      <c r="R24" t="s">
        <v>106</v>
      </c>
      <c r="S24" s="11">
        <v>4.49</v>
      </c>
      <c r="T24">
        <v>11.53</v>
      </c>
      <c r="U24">
        <v>14.47</v>
      </c>
      <c r="V24">
        <v>18.2</v>
      </c>
      <c r="W24">
        <v>30.3</v>
      </c>
      <c r="Y24">
        <v>60</v>
      </c>
      <c r="Z24">
        <v>105.5</v>
      </c>
      <c r="AD24" t="s">
        <v>106</v>
      </c>
      <c r="AE24">
        <f t="shared" si="28"/>
        <v>1347</v>
      </c>
      <c r="AF24">
        <f t="shared" si="29"/>
        <v>3459</v>
      </c>
      <c r="AG24">
        <f t="shared" si="29"/>
        <v>4341</v>
      </c>
      <c r="AH24">
        <f t="shared" si="29"/>
        <v>5460</v>
      </c>
      <c r="AI24">
        <f t="shared" si="24"/>
        <v>9090</v>
      </c>
      <c r="AJ24">
        <f t="shared" si="24"/>
        <v>0</v>
      </c>
      <c r="AK24">
        <f t="shared" si="25"/>
        <v>18000</v>
      </c>
      <c r="AL24">
        <f t="shared" si="26"/>
        <v>31650</v>
      </c>
      <c r="AM24">
        <f t="shared" si="27"/>
        <v>0</v>
      </c>
      <c r="AO24" s="58">
        <v>385</v>
      </c>
      <c r="AP24">
        <v>19410</v>
      </c>
      <c r="AQ24">
        <v>18720</v>
      </c>
      <c r="AR24">
        <v>18000</v>
      </c>
    </row>
    <row r="25" spans="1:44" x14ac:dyDescent="0.25">
      <c r="A25" s="21" t="s">
        <v>7</v>
      </c>
      <c r="B25" s="21"/>
      <c r="C25" s="21">
        <v>0.15</v>
      </c>
      <c r="D25" s="21" t="s">
        <v>6</v>
      </c>
      <c r="E25" s="7"/>
      <c r="F25" s="7"/>
      <c r="G25" s="7"/>
      <c r="H25" s="21" t="s">
        <v>13</v>
      </c>
      <c r="I25" s="21">
        <v>1</v>
      </c>
      <c r="J25" s="21" t="s">
        <v>6</v>
      </c>
      <c r="S25" s="69" t="s">
        <v>98</v>
      </c>
      <c r="T25" s="69"/>
      <c r="U25" s="69"/>
      <c r="V25" s="69"/>
      <c r="W25" s="69"/>
      <c r="X25" s="69"/>
      <c r="Y25" s="69"/>
      <c r="Z25" s="69"/>
      <c r="AA25" s="69"/>
      <c r="AE25" s="69" t="s">
        <v>97</v>
      </c>
      <c r="AF25" s="69"/>
      <c r="AG25" s="69"/>
      <c r="AH25" s="69"/>
      <c r="AI25" s="69"/>
      <c r="AJ25" s="69"/>
      <c r="AK25" s="69"/>
      <c r="AL25" s="69"/>
      <c r="AM25" s="69"/>
      <c r="AO25" s="58">
        <v>521</v>
      </c>
      <c r="AP25">
        <v>33600</v>
      </c>
      <c r="AQ25">
        <v>32640</v>
      </c>
      <c r="AR25">
        <v>31650</v>
      </c>
    </row>
    <row r="26" spans="1:44" x14ac:dyDescent="0.25">
      <c r="A26" s="21" t="s">
        <v>2</v>
      </c>
      <c r="B26" s="21"/>
      <c r="C26" s="21">
        <v>236</v>
      </c>
      <c r="D26" s="21" t="s">
        <v>6</v>
      </c>
      <c r="E26" s="7"/>
      <c r="F26" s="7"/>
      <c r="G26" s="7"/>
      <c r="H26" s="21" t="s">
        <v>61</v>
      </c>
      <c r="I26" s="21" t="s">
        <v>3</v>
      </c>
      <c r="J26" s="21"/>
      <c r="M26" s="28"/>
      <c r="N26" s="28"/>
      <c r="O26" s="28"/>
      <c r="P26" s="28"/>
      <c r="Q26" s="28"/>
      <c r="R26" t="s">
        <v>101</v>
      </c>
      <c r="S26">
        <f>S19/($S$4*PI()/30)</f>
        <v>1.01435661155135</v>
      </c>
      <c r="T26" s="26">
        <f>T19/($T$4*PI()/30)</f>
        <v>0.9674945224796796</v>
      </c>
      <c r="U26" s="26">
        <f t="shared" ref="U26:U31" si="30">U19/($U$4*PI()/30)</f>
        <v>0.94879082503211332</v>
      </c>
      <c r="V26">
        <f>V19/($V$4*PI()/30)</f>
        <v>0.90999179226660154</v>
      </c>
      <c r="W26" s="26">
        <f>W19/($W$4*PI()/30)</f>
        <v>0.77693077019739631</v>
      </c>
      <c r="X26" s="26">
        <f>X19/($X$4*PI()/30)</f>
        <v>0.63195454309820021</v>
      </c>
      <c r="Y26">
        <f>Y19/($Y$4*PI()/30)</f>
        <v>0.45638196668429204</v>
      </c>
      <c r="Z26">
        <f>Z19/($Z$4*PI()/30)</f>
        <v>0</v>
      </c>
      <c r="AA26" s="4">
        <f>AA19/($AA$4*PI()/30)</f>
        <v>-0.6403127826366406</v>
      </c>
      <c r="AD26" t="s">
        <v>101</v>
      </c>
      <c r="AE26">
        <f>S26*$AF$1</f>
        <v>304.30698346540504</v>
      </c>
      <c r="AF26">
        <f>T26*$AF$1</f>
        <v>290.24835674390386</v>
      </c>
      <c r="AG26">
        <f>U26*$AF$1</f>
        <v>284.63724750963399</v>
      </c>
      <c r="AH26">
        <f>V26*$AF$1</f>
        <v>272.99753767998044</v>
      </c>
      <c r="AI26">
        <f t="shared" ref="AI26:AJ31" si="31">W26*$AF$1</f>
        <v>233.0792310592189</v>
      </c>
      <c r="AJ26">
        <f t="shared" si="31"/>
        <v>189.58636292946005</v>
      </c>
      <c r="AK26">
        <f t="shared" ref="AK26:AK31" si="32">Y26*$AF$1</f>
        <v>136.91459000528761</v>
      </c>
      <c r="AL26">
        <f t="shared" ref="AL26:AL31" si="33">Z26*$AF$1</f>
        <v>0</v>
      </c>
      <c r="AM26" s="4">
        <f t="shared" ref="AM26:AM31" si="34">AA26*$AF$1</f>
        <v>-192.09383479099219</v>
      </c>
    </row>
    <row r="27" spans="1:44" x14ac:dyDescent="0.25">
      <c r="A27" s="21" t="s">
        <v>1</v>
      </c>
      <c r="B27" s="21"/>
      <c r="C27" s="21">
        <v>262.5</v>
      </c>
      <c r="D27" s="21" t="s">
        <v>6</v>
      </c>
      <c r="E27" s="7"/>
      <c r="F27" s="7"/>
      <c r="G27" s="7"/>
      <c r="H27" s="35"/>
      <c r="I27" s="35"/>
      <c r="J27" s="35"/>
      <c r="M27" s="35"/>
      <c r="N27" s="35"/>
      <c r="O27" s="35"/>
      <c r="P27" s="35"/>
      <c r="Q27" s="35"/>
      <c r="R27" t="s">
        <v>102</v>
      </c>
      <c r="S27">
        <f t="shared" ref="S27:S31" si="35">S20/($S$4*PI()/30)</f>
        <v>0.95288045327551074</v>
      </c>
      <c r="T27" s="26">
        <f t="shared" ref="T27:T31" si="36">T20/($T$4*PI()/30)</f>
        <v>0.90467020283814203</v>
      </c>
      <c r="U27" s="26">
        <f t="shared" si="30"/>
        <v>0.88740248983952508</v>
      </c>
      <c r="V27">
        <f t="shared" ref="V27:V31" si="37">V20/($V$4*PI()/30)</f>
        <v>0.85381945941063841</v>
      </c>
      <c r="W27" s="26">
        <f t="shared" ref="W27:W31" si="38">W20/($W$4*PI()/30)</f>
        <v>0.71428738459642627</v>
      </c>
      <c r="X27" s="26">
        <f>X20/($X$4*PI()/30)</f>
        <v>0.57128666822835827</v>
      </c>
      <c r="Y27">
        <f t="shared" ref="Y27:Y31" si="39">Y20/($Y$4*PI()/30)</f>
        <v>0.38693253697146501</v>
      </c>
      <c r="Z27">
        <f t="shared" ref="Z27:Z31" si="40">Z20/($Z$4*PI()/30)</f>
        <v>-6.4184155098027065E-2</v>
      </c>
      <c r="AA27">
        <f t="shared" ref="AA27:AA31" si="41">AA20/($AA$4*PI()/30)</f>
        <v>0</v>
      </c>
      <c r="AD27" t="s">
        <v>102</v>
      </c>
      <c r="AE27">
        <f t="shared" ref="AE27:AE31" si="42">S27*$AF$1</f>
        <v>285.86413598265324</v>
      </c>
      <c r="AF27">
        <f t="shared" ref="AF27:AH31" si="43">T27*$AF$1</f>
        <v>271.40106085144259</v>
      </c>
      <c r="AG27">
        <f t="shared" si="43"/>
        <v>266.22074695185751</v>
      </c>
      <c r="AH27">
        <f t="shared" si="43"/>
        <v>256.14583782319153</v>
      </c>
      <c r="AI27">
        <f t="shared" si="31"/>
        <v>214.28621537892789</v>
      </c>
      <c r="AJ27">
        <f t="shared" si="31"/>
        <v>171.38600046850749</v>
      </c>
      <c r="AK27">
        <f t="shared" si="32"/>
        <v>116.07976109143951</v>
      </c>
      <c r="AL27">
        <f t="shared" si="33"/>
        <v>-19.255246529408119</v>
      </c>
      <c r="AM27">
        <f t="shared" si="34"/>
        <v>0</v>
      </c>
    </row>
    <row r="28" spans="1:44" x14ac:dyDescent="0.25">
      <c r="A28" s="21" t="s">
        <v>70</v>
      </c>
      <c r="B28" s="21"/>
      <c r="C28" s="21">
        <f>(C27-C24)*4/3</f>
        <v>349.33333333333331</v>
      </c>
      <c r="D28" s="21" t="s">
        <v>6</v>
      </c>
      <c r="E28" s="21" t="s">
        <v>25</v>
      </c>
      <c r="F28" s="21"/>
      <c r="G28" s="21"/>
      <c r="H28" s="35"/>
      <c r="I28" s="35"/>
      <c r="J28" s="35"/>
      <c r="M28" s="35"/>
      <c r="N28" s="35"/>
      <c r="O28" s="35"/>
      <c r="P28" s="35"/>
      <c r="Q28" s="4"/>
      <c r="R28" t="s">
        <v>103</v>
      </c>
      <c r="S28">
        <f t="shared" si="35"/>
        <v>0.89140429499967122</v>
      </c>
      <c r="T28" s="26">
        <f t="shared" si="36"/>
        <v>0.84687182876792733</v>
      </c>
      <c r="U28" s="26">
        <f t="shared" si="30"/>
        <v>0.82669624726018776</v>
      </c>
      <c r="V28">
        <f t="shared" si="37"/>
        <v>0.78641265998348286</v>
      </c>
      <c r="W28" s="26">
        <f t="shared" si="38"/>
        <v>0.65699160508334398</v>
      </c>
      <c r="X28" s="26">
        <f>X21/($X$4*PI()/30)</f>
        <v>0.50924608197434895</v>
      </c>
      <c r="Y28">
        <f t="shared" si="39"/>
        <v>0.32740445436047039</v>
      </c>
      <c r="Z28">
        <f t="shared" si="40"/>
        <v>-0.12836831019605413</v>
      </c>
      <c r="AA28">
        <f t="shared" si="41"/>
        <v>0</v>
      </c>
      <c r="AD28" t="s">
        <v>103</v>
      </c>
      <c r="AE28">
        <f t="shared" si="42"/>
        <v>267.42128849990138</v>
      </c>
      <c r="AF28">
        <f t="shared" si="43"/>
        <v>254.06154863037818</v>
      </c>
      <c r="AG28">
        <f t="shared" si="43"/>
        <v>248.00887417805632</v>
      </c>
      <c r="AH28">
        <f t="shared" si="43"/>
        <v>235.92379799504485</v>
      </c>
      <c r="AI28">
        <f t="shared" si="31"/>
        <v>197.09748152500319</v>
      </c>
      <c r="AJ28">
        <f t="shared" si="31"/>
        <v>152.77382459230469</v>
      </c>
      <c r="AK28">
        <f t="shared" si="32"/>
        <v>98.221336308141119</v>
      </c>
      <c r="AL28">
        <f t="shared" si="33"/>
        <v>-38.510493058816238</v>
      </c>
      <c r="AM28">
        <f t="shared" si="34"/>
        <v>0</v>
      </c>
    </row>
    <row r="29" spans="1:44" x14ac:dyDescent="0.25">
      <c r="A29" s="21" t="s">
        <v>71</v>
      </c>
      <c r="B29" s="7"/>
      <c r="C29" s="21">
        <v>349.8</v>
      </c>
      <c r="D29" s="21" t="s">
        <v>6</v>
      </c>
      <c r="H29" s="35"/>
      <c r="I29" s="35"/>
      <c r="J29" s="35"/>
      <c r="M29" s="35"/>
      <c r="N29" s="35"/>
      <c r="O29" s="35"/>
      <c r="P29" s="35"/>
      <c r="Q29" s="35"/>
      <c r="R29" t="s">
        <v>104</v>
      </c>
      <c r="S29">
        <f t="shared" si="35"/>
        <v>1.0409962801375472</v>
      </c>
      <c r="T29" s="26">
        <f t="shared" si="36"/>
        <v>1.0872795585962114</v>
      </c>
      <c r="U29" s="26">
        <f t="shared" si="30"/>
        <v>1.1070363113063406</v>
      </c>
      <c r="V29">
        <f t="shared" si="37"/>
        <v>1.1402983569760501</v>
      </c>
      <c r="W29" s="26">
        <f t="shared" si="38"/>
        <v>1.2796057424588385</v>
      </c>
      <c r="Y29">
        <f t="shared" si="39"/>
        <v>1.6047778937213968</v>
      </c>
      <c r="Z29">
        <f>Z22/($Z$4*PI()/30)</f>
        <v>2.0538929631368661</v>
      </c>
      <c r="AA29">
        <f t="shared" si="41"/>
        <v>0</v>
      </c>
      <c r="AD29" t="s">
        <v>104</v>
      </c>
      <c r="AE29">
        <f t="shared" si="42"/>
        <v>312.29888404126416</v>
      </c>
      <c r="AF29">
        <f t="shared" si="43"/>
        <v>326.18386757886344</v>
      </c>
      <c r="AG29">
        <f t="shared" si="43"/>
        <v>332.11089339190221</v>
      </c>
      <c r="AH29">
        <f t="shared" si="43"/>
        <v>342.08950709281504</v>
      </c>
      <c r="AI29">
        <f t="shared" si="31"/>
        <v>383.88172273765156</v>
      </c>
      <c r="AK29">
        <f t="shared" si="32"/>
        <v>481.43336811641905</v>
      </c>
      <c r="AL29">
        <f t="shared" si="33"/>
        <v>616.1678889410598</v>
      </c>
      <c r="AM29">
        <f t="shared" si="34"/>
        <v>0</v>
      </c>
    </row>
    <row r="30" spans="1:44" x14ac:dyDescent="0.25">
      <c r="A30" s="21" t="s">
        <v>73</v>
      </c>
      <c r="B30" s="7"/>
      <c r="C30" s="21">
        <f>C29/2-C28/2</f>
        <v>0.23333333333334849</v>
      </c>
      <c r="D30" s="21" t="s">
        <v>6</v>
      </c>
      <c r="M30" s="31"/>
      <c r="N30" s="31"/>
      <c r="O30" s="31"/>
      <c r="P30" s="31"/>
      <c r="Q30" s="31"/>
      <c r="R30" t="s">
        <v>105</v>
      </c>
      <c r="S30">
        <f t="shared" si="35"/>
        <v>0.98156932713756906</v>
      </c>
      <c r="T30" s="26">
        <f t="shared" si="36"/>
        <v>1.0269682117403351</v>
      </c>
      <c r="U30" s="26">
        <f t="shared" si="30"/>
        <v>1.0476942539535052</v>
      </c>
      <c r="V30">
        <f t="shared" si="37"/>
        <v>1.084126024120087</v>
      </c>
      <c r="W30" s="26">
        <f t="shared" si="38"/>
        <v>1.2184902443115508</v>
      </c>
      <c r="Y30">
        <f t="shared" si="39"/>
        <v>1.5477301478858601</v>
      </c>
      <c r="Z30">
        <f>Z23/($Z$4*PI()/30)</f>
        <v>1.9952103070472413</v>
      </c>
      <c r="AA30">
        <f t="shared" si="41"/>
        <v>0</v>
      </c>
      <c r="AD30" t="s">
        <v>105</v>
      </c>
      <c r="AE30">
        <f t="shared" si="42"/>
        <v>294.47079814127073</v>
      </c>
      <c r="AF30">
        <f t="shared" si="43"/>
        <v>308.09046352210055</v>
      </c>
      <c r="AG30">
        <f t="shared" si="43"/>
        <v>314.30827618605156</v>
      </c>
      <c r="AH30">
        <f t="shared" si="43"/>
        <v>325.23780723602607</v>
      </c>
      <c r="AI30">
        <f t="shared" si="31"/>
        <v>365.54707329346525</v>
      </c>
      <c r="AK30">
        <f t="shared" si="32"/>
        <v>464.31904436575803</v>
      </c>
      <c r="AL30">
        <f t="shared" si="33"/>
        <v>598.56309211417238</v>
      </c>
      <c r="AM30">
        <f t="shared" si="34"/>
        <v>0</v>
      </c>
    </row>
    <row r="31" spans="1:44" x14ac:dyDescent="0.25">
      <c r="A31" s="15"/>
      <c r="C31" s="15"/>
      <c r="D31" s="15"/>
      <c r="E31" s="15"/>
      <c r="F31" s="15"/>
      <c r="G31" s="15"/>
      <c r="M31" s="31"/>
      <c r="N31" s="31"/>
      <c r="O31" s="31"/>
      <c r="P31" s="31"/>
      <c r="Q31" s="31"/>
      <c r="R31" t="s">
        <v>106</v>
      </c>
      <c r="S31">
        <f t="shared" si="35"/>
        <v>0.92009316886172976</v>
      </c>
      <c r="T31" s="26">
        <f t="shared" si="36"/>
        <v>0.96581920728923853</v>
      </c>
      <c r="U31" s="26">
        <f t="shared" si="30"/>
        <v>0.98698801137416825</v>
      </c>
      <c r="V31">
        <f t="shared" si="37"/>
        <v>1.0223364579785277</v>
      </c>
      <c r="W31" s="26">
        <f t="shared" si="38"/>
        <v>1.1573747461642629</v>
      </c>
      <c r="Y31">
        <f t="shared" si="39"/>
        <v>1.4882020652748655</v>
      </c>
      <c r="Z31">
        <f t="shared" si="40"/>
        <v>1.9346938179548159</v>
      </c>
      <c r="AA31">
        <f t="shared" si="41"/>
        <v>0</v>
      </c>
      <c r="AD31" t="s">
        <v>106</v>
      </c>
      <c r="AE31">
        <f t="shared" si="42"/>
        <v>276.02795065851893</v>
      </c>
      <c r="AF31">
        <f t="shared" si="43"/>
        <v>289.74576218677157</v>
      </c>
      <c r="AG31">
        <f t="shared" si="43"/>
        <v>296.09640341225048</v>
      </c>
      <c r="AH31">
        <f t="shared" si="43"/>
        <v>306.70093739355832</v>
      </c>
      <c r="AI31">
        <f t="shared" si="31"/>
        <v>347.21242384927888</v>
      </c>
      <c r="AK31">
        <f t="shared" si="32"/>
        <v>446.46061958245969</v>
      </c>
      <c r="AL31">
        <f t="shared" si="33"/>
        <v>580.40814538644474</v>
      </c>
      <c r="AM31">
        <f t="shared" si="34"/>
        <v>0</v>
      </c>
    </row>
    <row r="32" spans="1:44" x14ac:dyDescent="0.25">
      <c r="A32" s="15" t="s">
        <v>81</v>
      </c>
      <c r="C32" s="15"/>
      <c r="D32" s="15"/>
      <c r="E32" s="15"/>
      <c r="F32" s="15"/>
      <c r="G32" s="15"/>
      <c r="M32" s="31"/>
      <c r="N32" s="31"/>
      <c r="O32" s="31"/>
      <c r="P32" s="31"/>
      <c r="Q32" s="31"/>
      <c r="R32" s="31"/>
    </row>
    <row r="33" spans="1:44" x14ac:dyDescent="0.25">
      <c r="A33" s="21" t="s">
        <v>83</v>
      </c>
      <c r="B33">
        <v>262.5</v>
      </c>
      <c r="C33" t="s">
        <v>6</v>
      </c>
      <c r="F33" s="15"/>
      <c r="G33" s="15"/>
      <c r="M33" s="31"/>
      <c r="N33" s="31"/>
      <c r="O33" s="31"/>
      <c r="P33" s="31"/>
      <c r="Q33" s="31"/>
      <c r="R33" s="31"/>
      <c r="S33" s="68" t="s">
        <v>152</v>
      </c>
      <c r="T33" s="68"/>
      <c r="U33" s="68"/>
      <c r="V33" s="68"/>
      <c r="W33" s="68"/>
      <c r="X33" s="68"/>
      <c r="Y33" s="68"/>
      <c r="Z33" s="68"/>
      <c r="AA33" s="68"/>
      <c r="AE33" s="68" t="s">
        <v>155</v>
      </c>
      <c r="AF33" s="68"/>
      <c r="AG33" s="68"/>
      <c r="AH33" s="68"/>
      <c r="AI33" s="68"/>
      <c r="AJ33" s="68"/>
      <c r="AK33" s="68"/>
      <c r="AL33" s="68"/>
      <c r="AM33" s="68"/>
      <c r="AN33" t="s">
        <v>114</v>
      </c>
    </row>
    <row r="34" spans="1:44" x14ac:dyDescent="0.25">
      <c r="A34" s="21" t="s">
        <v>71</v>
      </c>
      <c r="B34">
        <v>349.8</v>
      </c>
      <c r="C34" t="s">
        <v>6</v>
      </c>
      <c r="R34" t="s">
        <v>101</v>
      </c>
      <c r="S34">
        <v>0.96</v>
      </c>
      <c r="T34">
        <v>0.9</v>
      </c>
      <c r="U34" s="26">
        <v>0.89700000000000002</v>
      </c>
      <c r="V34">
        <v>0.88</v>
      </c>
      <c r="W34">
        <v>0.78400000000000003</v>
      </c>
      <c r="X34">
        <v>0.97799999999999998</v>
      </c>
      <c r="Y34">
        <v>1.1499999999999999</v>
      </c>
      <c r="Z34">
        <v>1.54</v>
      </c>
      <c r="AA34" s="4">
        <v>2.44</v>
      </c>
      <c r="AD34" t="s">
        <v>101</v>
      </c>
      <c r="AE34">
        <f t="shared" ref="AE34:AM34" si="44">S34*$AF$1</f>
        <v>288</v>
      </c>
      <c r="AF34">
        <f t="shared" si="44"/>
        <v>270</v>
      </c>
      <c r="AG34">
        <f t="shared" si="44"/>
        <v>269.10000000000002</v>
      </c>
      <c r="AH34">
        <f t="shared" si="44"/>
        <v>264</v>
      </c>
      <c r="AI34">
        <f t="shared" si="44"/>
        <v>235.20000000000002</v>
      </c>
      <c r="AJ34">
        <f t="shared" si="44"/>
        <v>293.39999999999998</v>
      </c>
      <c r="AK34">
        <f t="shared" si="44"/>
        <v>345</v>
      </c>
      <c r="AL34">
        <f t="shared" si="44"/>
        <v>462</v>
      </c>
      <c r="AM34" s="4">
        <f t="shared" si="44"/>
        <v>732</v>
      </c>
    </row>
    <row r="35" spans="1:44" x14ac:dyDescent="0.25">
      <c r="A35" s="21" t="s">
        <v>78</v>
      </c>
      <c r="B35">
        <v>0.15</v>
      </c>
      <c r="C35" t="s">
        <v>6</v>
      </c>
      <c r="R35" t="s">
        <v>102</v>
      </c>
      <c r="S35" s="11">
        <v>0.90500000000000003</v>
      </c>
      <c r="T35">
        <v>0.84</v>
      </c>
      <c r="U35" s="26">
        <v>0.84519999999999995</v>
      </c>
      <c r="V35">
        <v>0.83</v>
      </c>
      <c r="W35">
        <v>0.8</v>
      </c>
      <c r="X35">
        <v>0.93769999999999998</v>
      </c>
      <c r="Y35">
        <v>1.1000000000000001</v>
      </c>
      <c r="Z35">
        <v>1.48</v>
      </c>
      <c r="AD35" t="s">
        <v>102</v>
      </c>
      <c r="AE35">
        <f t="shared" ref="AE35:AE39" si="45">S35*$AF$1</f>
        <v>271.5</v>
      </c>
      <c r="AF35">
        <f t="shared" ref="AF35:AG39" si="46">T35*$AF$1</f>
        <v>252</v>
      </c>
      <c r="AG35">
        <f t="shared" si="46"/>
        <v>253.55999999999997</v>
      </c>
      <c r="AH35">
        <f t="shared" ref="AH35:AH39" si="47">V35*$AF$1</f>
        <v>249</v>
      </c>
      <c r="AI35">
        <f t="shared" ref="AI35:AJ39" si="48">W35*$AF$1</f>
        <v>240</v>
      </c>
      <c r="AJ35">
        <f t="shared" si="48"/>
        <v>281.31</v>
      </c>
      <c r="AK35">
        <f t="shared" ref="AK35:AK39" si="49">Y35*$AF$1</f>
        <v>330</v>
      </c>
      <c r="AL35">
        <f t="shared" ref="AL35:AL39" si="50">Z35*$AF$1</f>
        <v>444</v>
      </c>
      <c r="AM35">
        <f t="shared" ref="AM35:AM39" si="51">AA35*$AF$1</f>
        <v>0</v>
      </c>
      <c r="AO35" t="s">
        <v>121</v>
      </c>
      <c r="AP35" t="s">
        <v>134</v>
      </c>
      <c r="AQ35" t="s">
        <v>135</v>
      </c>
      <c r="AR35" t="s">
        <v>136</v>
      </c>
    </row>
    <row r="36" spans="1:44" x14ac:dyDescent="0.25">
      <c r="A36" s="21" t="s">
        <v>79</v>
      </c>
      <c r="B36" s="34" t="s">
        <v>82</v>
      </c>
      <c r="C36" t="s">
        <v>6</v>
      </c>
      <c r="Q36" s="4"/>
      <c r="R36" t="s">
        <v>103</v>
      </c>
      <c r="S36" s="11">
        <v>0.84699999999999998</v>
      </c>
      <c r="T36">
        <v>0.78</v>
      </c>
      <c r="U36" s="26">
        <v>0.79</v>
      </c>
      <c r="V36">
        <v>0.79</v>
      </c>
      <c r="W36">
        <v>0.76</v>
      </c>
      <c r="X36">
        <v>0.90280000000000005</v>
      </c>
      <c r="Y36">
        <v>1.06</v>
      </c>
      <c r="Z36">
        <v>1.5</v>
      </c>
      <c r="AD36" t="s">
        <v>103</v>
      </c>
      <c r="AE36">
        <f t="shared" si="45"/>
        <v>254.1</v>
      </c>
      <c r="AF36">
        <f t="shared" si="46"/>
        <v>234</v>
      </c>
      <c r="AG36">
        <f t="shared" si="46"/>
        <v>237</v>
      </c>
      <c r="AH36">
        <f t="shared" si="47"/>
        <v>237</v>
      </c>
      <c r="AI36">
        <f t="shared" si="48"/>
        <v>228</v>
      </c>
      <c r="AJ36">
        <f t="shared" si="48"/>
        <v>270.84000000000003</v>
      </c>
      <c r="AK36">
        <f t="shared" si="49"/>
        <v>318</v>
      </c>
      <c r="AL36">
        <f t="shared" si="50"/>
        <v>450</v>
      </c>
      <c r="AM36">
        <f t="shared" si="51"/>
        <v>0</v>
      </c>
      <c r="AO36" s="58">
        <v>46.602546735302091</v>
      </c>
      <c r="AP36">
        <v>20.58</v>
      </c>
      <c r="AQ36">
        <v>20.49</v>
      </c>
      <c r="AR36">
        <v>20.43</v>
      </c>
    </row>
    <row r="37" spans="1:44" x14ac:dyDescent="0.25">
      <c r="A37" s="21" t="s">
        <v>84</v>
      </c>
      <c r="B37" t="s">
        <v>85</v>
      </c>
      <c r="R37" t="s">
        <v>104</v>
      </c>
      <c r="S37" s="11">
        <v>1.02</v>
      </c>
      <c r="T37">
        <v>1.0900000000000001</v>
      </c>
      <c r="U37" s="26">
        <v>1.1547000000000001</v>
      </c>
      <c r="V37">
        <v>1.22</v>
      </c>
      <c r="W37">
        <v>1.43</v>
      </c>
      <c r="Y37">
        <v>1.92</v>
      </c>
      <c r="Z37">
        <v>2.58</v>
      </c>
      <c r="AD37" t="s">
        <v>104</v>
      </c>
      <c r="AE37">
        <f t="shared" si="45"/>
        <v>306</v>
      </c>
      <c r="AF37">
        <f t="shared" si="46"/>
        <v>327</v>
      </c>
      <c r="AG37">
        <f t="shared" si="46"/>
        <v>346.41</v>
      </c>
      <c r="AH37">
        <f t="shared" si="47"/>
        <v>366</v>
      </c>
      <c r="AI37">
        <f t="shared" si="48"/>
        <v>429</v>
      </c>
      <c r="AK37">
        <f>Y37*$AF$1</f>
        <v>576</v>
      </c>
      <c r="AL37">
        <f t="shared" si="50"/>
        <v>774</v>
      </c>
      <c r="AM37">
        <f t="shared" si="51"/>
        <v>0</v>
      </c>
      <c r="AO37" s="58">
        <v>114</v>
      </c>
      <c r="AP37">
        <v>46.86</v>
      </c>
      <c r="AQ37">
        <v>46.739999999999995</v>
      </c>
      <c r="AR37">
        <v>46.65</v>
      </c>
    </row>
    <row r="38" spans="1:44" x14ac:dyDescent="0.25">
      <c r="R38" t="s">
        <v>105</v>
      </c>
      <c r="S38" s="11">
        <v>0.96</v>
      </c>
      <c r="T38">
        <v>1.04</v>
      </c>
      <c r="U38" s="26">
        <v>1.0867</v>
      </c>
      <c r="V38">
        <v>1.1599999999999999</v>
      </c>
      <c r="W38">
        <v>1.36</v>
      </c>
      <c r="Y38">
        <v>1.84</v>
      </c>
      <c r="Z38">
        <v>2.5</v>
      </c>
      <c r="AD38" t="s">
        <v>105</v>
      </c>
      <c r="AE38">
        <f t="shared" si="45"/>
        <v>288</v>
      </c>
      <c r="AF38">
        <f t="shared" si="46"/>
        <v>312</v>
      </c>
      <c r="AG38">
        <f t="shared" si="46"/>
        <v>326.01</v>
      </c>
      <c r="AH38">
        <f t="shared" si="47"/>
        <v>348</v>
      </c>
      <c r="AI38">
        <f t="shared" si="48"/>
        <v>408.00000000000006</v>
      </c>
      <c r="AK38">
        <f t="shared" si="49"/>
        <v>552</v>
      </c>
      <c r="AL38">
        <f t="shared" si="50"/>
        <v>750</v>
      </c>
      <c r="AM38">
        <f t="shared" si="51"/>
        <v>0</v>
      </c>
      <c r="AO38" s="58">
        <v>170</v>
      </c>
      <c r="AP38">
        <v>68.22</v>
      </c>
      <c r="AQ38">
        <v>68.100000000000009</v>
      </c>
      <c r="AR38">
        <v>68.010000000000005</v>
      </c>
    </row>
    <row r="39" spans="1:44" x14ac:dyDescent="0.25">
      <c r="A39" t="s">
        <v>62</v>
      </c>
      <c r="R39" t="s">
        <v>106</v>
      </c>
      <c r="S39" s="11">
        <v>0.9</v>
      </c>
      <c r="T39">
        <v>0.98</v>
      </c>
      <c r="U39" s="26">
        <v>1.03</v>
      </c>
      <c r="V39">
        <v>1.1100000000000001</v>
      </c>
      <c r="W39">
        <v>1.3</v>
      </c>
      <c r="Y39">
        <v>1.8</v>
      </c>
      <c r="Z39">
        <v>2.5</v>
      </c>
      <c r="AD39" t="s">
        <v>106</v>
      </c>
      <c r="AE39">
        <f t="shared" si="45"/>
        <v>270</v>
      </c>
      <c r="AF39">
        <f t="shared" si="46"/>
        <v>294</v>
      </c>
      <c r="AG39">
        <f t="shared" si="46"/>
        <v>309</v>
      </c>
      <c r="AH39">
        <f t="shared" si="47"/>
        <v>333.00000000000006</v>
      </c>
      <c r="AI39">
        <f t="shared" si="48"/>
        <v>390</v>
      </c>
      <c r="AK39">
        <f t="shared" si="49"/>
        <v>540</v>
      </c>
      <c r="AL39">
        <f t="shared" si="50"/>
        <v>750</v>
      </c>
      <c r="AM39">
        <f t="shared" si="51"/>
        <v>0</v>
      </c>
      <c r="AO39" s="58">
        <v>250</v>
      </c>
      <c r="AP39">
        <v>98.820000000000007</v>
      </c>
      <c r="AQ39">
        <v>98.73</v>
      </c>
      <c r="AR39">
        <v>98.61</v>
      </c>
    </row>
    <row r="40" spans="1:44" x14ac:dyDescent="0.25">
      <c r="A40" s="29" t="s">
        <v>63</v>
      </c>
      <c r="AO40" s="58">
        <v>385</v>
      </c>
      <c r="AP40">
        <v>149.72999999999999</v>
      </c>
      <c r="AQ40">
        <v>149.55000000000001</v>
      </c>
      <c r="AR40">
        <v>149.37</v>
      </c>
    </row>
    <row r="41" spans="1:44" x14ac:dyDescent="0.25">
      <c r="A41" s="30" t="s">
        <v>64</v>
      </c>
      <c r="S41" s="69" t="s">
        <v>108</v>
      </c>
      <c r="T41" s="69"/>
      <c r="U41" s="69"/>
      <c r="V41" s="69"/>
      <c r="W41" s="69"/>
      <c r="X41" s="69"/>
      <c r="Y41" s="69"/>
      <c r="Z41" s="69"/>
      <c r="AA41" s="69"/>
      <c r="AE41" s="69" t="s">
        <v>110</v>
      </c>
      <c r="AF41" s="69"/>
      <c r="AG41" s="69"/>
      <c r="AH41" s="69"/>
      <c r="AI41" s="69"/>
      <c r="AJ41" s="69"/>
      <c r="AK41" s="69"/>
      <c r="AL41" s="69"/>
      <c r="AM41" s="69"/>
      <c r="AO41" s="58">
        <v>521</v>
      </c>
      <c r="AP41">
        <v>200.76</v>
      </c>
      <c r="AQ41">
        <v>200.73000000000002</v>
      </c>
      <c r="AR41">
        <v>200.60999999999999</v>
      </c>
    </row>
    <row r="42" spans="1:44" x14ac:dyDescent="0.25">
      <c r="A42" s="30" t="s">
        <v>65</v>
      </c>
      <c r="R42" t="s">
        <v>101</v>
      </c>
      <c r="S42">
        <v>7.5499999999999998E-2</v>
      </c>
      <c r="T42">
        <v>0.16700000000000001</v>
      </c>
      <c r="U42">
        <v>0.20480000000000001</v>
      </c>
      <c r="V42">
        <v>0.24629999999999999</v>
      </c>
      <c r="W42">
        <v>0.35539999999999999</v>
      </c>
      <c r="X42">
        <v>0.45219999999999999</v>
      </c>
      <c r="Y42">
        <v>0.53939999999999999</v>
      </c>
      <c r="Z42">
        <v>0.72209999999999996</v>
      </c>
      <c r="AA42" s="4">
        <v>0.90539999999999998</v>
      </c>
      <c r="AD42" t="s">
        <v>101</v>
      </c>
      <c r="AE42">
        <f>S42*$AF$1</f>
        <v>22.65</v>
      </c>
      <c r="AF42">
        <f>T42*$AF$1</f>
        <v>50.1</v>
      </c>
      <c r="AG42">
        <f>U42*$AF$1</f>
        <v>61.440000000000005</v>
      </c>
      <c r="AH42">
        <f>V42*$AF$1</f>
        <v>73.89</v>
      </c>
      <c r="AI42">
        <f t="shared" ref="AI42:AJ47" si="52">W42*$AF$1</f>
        <v>106.62</v>
      </c>
      <c r="AJ42">
        <f t="shared" si="52"/>
        <v>135.66</v>
      </c>
      <c r="AK42">
        <f t="shared" ref="AK42:AK47" si="53">Y42*$AF$1</f>
        <v>161.82</v>
      </c>
      <c r="AL42">
        <f t="shared" ref="AL42:AL47" si="54">Z42*$AF$1</f>
        <v>216.63</v>
      </c>
      <c r="AM42" s="4">
        <f t="shared" ref="AM42:AM47" si="55">AA42*$AF$1</f>
        <v>271.62</v>
      </c>
      <c r="AO42" s="58"/>
    </row>
    <row r="43" spans="1:44" x14ac:dyDescent="0.25">
      <c r="A43" s="30" t="s">
        <v>66</v>
      </c>
      <c r="R43" t="s">
        <v>102</v>
      </c>
      <c r="S43" s="11">
        <v>7.5200000000000003E-2</v>
      </c>
      <c r="T43">
        <v>0.16669999999999999</v>
      </c>
      <c r="U43">
        <v>0.20449999999999999</v>
      </c>
      <c r="V43">
        <v>0.24590000000000001</v>
      </c>
      <c r="W43">
        <v>0.35580000000000001</v>
      </c>
      <c r="X43">
        <v>0.45169999999999999</v>
      </c>
      <c r="Y43">
        <v>0.53790000000000004</v>
      </c>
      <c r="Z43">
        <v>0.72150000000000003</v>
      </c>
      <c r="AD43" t="s">
        <v>102</v>
      </c>
      <c r="AE43">
        <f t="shared" ref="AE43:AE47" si="56">S43*$AF$1</f>
        <v>22.560000000000002</v>
      </c>
      <c r="AF43">
        <f t="shared" ref="AF43:AH47" si="57">T43*$AF$1</f>
        <v>50.01</v>
      </c>
      <c r="AG43">
        <f t="shared" si="57"/>
        <v>61.349999999999994</v>
      </c>
      <c r="AH43">
        <f t="shared" si="57"/>
        <v>73.77</v>
      </c>
      <c r="AI43">
        <f t="shared" si="52"/>
        <v>106.74</v>
      </c>
      <c r="AJ43">
        <f t="shared" si="52"/>
        <v>135.51</v>
      </c>
      <c r="AK43">
        <f t="shared" si="53"/>
        <v>161.37</v>
      </c>
      <c r="AL43">
        <f t="shared" si="54"/>
        <v>216.45000000000002</v>
      </c>
      <c r="AM43">
        <f t="shared" si="55"/>
        <v>0</v>
      </c>
      <c r="AO43" s="58"/>
    </row>
    <row r="44" spans="1:44" x14ac:dyDescent="0.25">
      <c r="A44" s="30" t="s">
        <v>69</v>
      </c>
      <c r="Q44" s="4"/>
      <c r="R44" t="s">
        <v>103</v>
      </c>
      <c r="S44" s="11">
        <v>7.4800000000000005E-2</v>
      </c>
      <c r="T44">
        <v>0.1666</v>
      </c>
      <c r="U44">
        <v>0.2041</v>
      </c>
      <c r="V44">
        <v>0.2455</v>
      </c>
      <c r="W44">
        <v>0.35549999999999998</v>
      </c>
      <c r="X44">
        <v>0.45129999999999998</v>
      </c>
      <c r="Y44">
        <v>0.53710000000000002</v>
      </c>
      <c r="Z44">
        <v>0.72170000000000001</v>
      </c>
      <c r="AD44" t="s">
        <v>103</v>
      </c>
      <c r="AE44">
        <f t="shared" si="56"/>
        <v>22.44</v>
      </c>
      <c r="AF44">
        <f t="shared" si="57"/>
        <v>49.98</v>
      </c>
      <c r="AG44">
        <f t="shared" si="57"/>
        <v>61.230000000000004</v>
      </c>
      <c r="AH44">
        <f t="shared" si="57"/>
        <v>73.650000000000006</v>
      </c>
      <c r="AI44">
        <f t="shared" si="52"/>
        <v>106.64999999999999</v>
      </c>
      <c r="AJ44">
        <f t="shared" si="52"/>
        <v>135.38999999999999</v>
      </c>
      <c r="AK44">
        <f t="shared" si="53"/>
        <v>161.13</v>
      </c>
      <c r="AL44">
        <f t="shared" si="54"/>
        <v>216.51</v>
      </c>
      <c r="AM44">
        <f t="shared" si="55"/>
        <v>0</v>
      </c>
      <c r="AO44" s="58" t="s">
        <v>121</v>
      </c>
      <c r="AP44" t="s">
        <v>137</v>
      </c>
      <c r="AQ44" t="s">
        <v>138</v>
      </c>
      <c r="AR44" t="s">
        <v>139</v>
      </c>
    </row>
    <row r="45" spans="1:44" x14ac:dyDescent="0.25">
      <c r="A45" s="30" t="s">
        <v>67</v>
      </c>
      <c r="R45" t="s">
        <v>104</v>
      </c>
      <c r="S45" s="11">
        <v>5.8119999999999998E-2</v>
      </c>
      <c r="T45">
        <v>0.15129999999999999</v>
      </c>
      <c r="U45">
        <v>0.18729999999999999</v>
      </c>
      <c r="V45">
        <v>0.2291</v>
      </c>
      <c r="W45">
        <v>0.33889999999999998</v>
      </c>
      <c r="Y45">
        <v>0.5252</v>
      </c>
      <c r="Z45">
        <v>0.71289999999999998</v>
      </c>
      <c r="AD45" t="s">
        <v>104</v>
      </c>
      <c r="AE45">
        <f t="shared" si="56"/>
        <v>17.436</v>
      </c>
      <c r="AF45">
        <f t="shared" si="57"/>
        <v>45.39</v>
      </c>
      <c r="AG45">
        <f t="shared" si="57"/>
        <v>56.19</v>
      </c>
      <c r="AH45">
        <f t="shared" si="57"/>
        <v>68.73</v>
      </c>
      <c r="AI45">
        <f t="shared" si="52"/>
        <v>101.66999999999999</v>
      </c>
      <c r="AK45">
        <f t="shared" si="53"/>
        <v>157.56</v>
      </c>
      <c r="AL45">
        <f t="shared" si="54"/>
        <v>213.87</v>
      </c>
      <c r="AM45">
        <f t="shared" si="55"/>
        <v>0</v>
      </c>
      <c r="AO45" s="58">
        <v>46.602546735302091</v>
      </c>
      <c r="AP45">
        <v>15.632999999999999</v>
      </c>
      <c r="AQ45">
        <v>15.699</v>
      </c>
      <c r="AR45">
        <v>15.765000000000001</v>
      </c>
    </row>
    <row r="46" spans="1:44" x14ac:dyDescent="0.25">
      <c r="A46" s="30" t="s">
        <v>68</v>
      </c>
      <c r="R46" t="s">
        <v>105</v>
      </c>
      <c r="S46" s="11">
        <v>5.8290000000000002E-2</v>
      </c>
      <c r="T46">
        <v>0.1515</v>
      </c>
      <c r="U46">
        <v>0.18759999999999999</v>
      </c>
      <c r="V46">
        <v>0.2293</v>
      </c>
      <c r="W46">
        <v>0.33910000000000001</v>
      </c>
      <c r="Y46">
        <v>0.52539999999999998</v>
      </c>
      <c r="Z46">
        <v>0.71319999999999995</v>
      </c>
      <c r="AD46" t="s">
        <v>105</v>
      </c>
      <c r="AE46">
        <f t="shared" si="56"/>
        <v>17.487000000000002</v>
      </c>
      <c r="AF46">
        <f t="shared" si="57"/>
        <v>45.449999999999996</v>
      </c>
      <c r="AG46">
        <f t="shared" si="57"/>
        <v>56.279999999999994</v>
      </c>
      <c r="AH46">
        <f t="shared" si="57"/>
        <v>68.790000000000006</v>
      </c>
      <c r="AI46">
        <f t="shared" si="52"/>
        <v>101.73</v>
      </c>
      <c r="AK46">
        <f t="shared" si="53"/>
        <v>157.62</v>
      </c>
      <c r="AL46">
        <f t="shared" si="54"/>
        <v>213.95999999999998</v>
      </c>
      <c r="AM46">
        <f t="shared" si="55"/>
        <v>0</v>
      </c>
      <c r="AO46" s="58">
        <v>114</v>
      </c>
      <c r="AP46">
        <v>41.82</v>
      </c>
      <c r="AQ46">
        <v>41.91</v>
      </c>
      <c r="AR46">
        <v>42.000000000000007</v>
      </c>
    </row>
    <row r="47" spans="1:44" x14ac:dyDescent="0.25">
      <c r="R47" t="s">
        <v>106</v>
      </c>
      <c r="S47" s="11">
        <v>5.8479999999999997E-2</v>
      </c>
      <c r="T47">
        <v>0.1517</v>
      </c>
      <c r="U47">
        <v>0.18779999999999999</v>
      </c>
      <c r="V47">
        <v>0.2296</v>
      </c>
      <c r="W47">
        <v>0.33929999999999999</v>
      </c>
      <c r="Y47">
        <v>0.52580000000000005</v>
      </c>
      <c r="Z47">
        <v>0.71340000000000003</v>
      </c>
      <c r="AD47" t="s">
        <v>106</v>
      </c>
      <c r="AE47">
        <f t="shared" si="56"/>
        <v>17.544</v>
      </c>
      <c r="AF47">
        <f t="shared" si="57"/>
        <v>45.51</v>
      </c>
      <c r="AG47">
        <f t="shared" si="57"/>
        <v>56.339999999999996</v>
      </c>
      <c r="AH47">
        <f t="shared" si="57"/>
        <v>68.88</v>
      </c>
      <c r="AI47">
        <f t="shared" si="52"/>
        <v>101.78999999999999</v>
      </c>
      <c r="AK47">
        <f t="shared" si="53"/>
        <v>157.74</v>
      </c>
      <c r="AL47">
        <f t="shared" si="54"/>
        <v>214.02</v>
      </c>
      <c r="AM47">
        <f t="shared" si="55"/>
        <v>0</v>
      </c>
      <c r="AO47" s="58">
        <v>170</v>
      </c>
      <c r="AP47">
        <v>63.449999999999996</v>
      </c>
      <c r="AQ47">
        <v>63.51</v>
      </c>
      <c r="AR47">
        <v>63.63</v>
      </c>
    </row>
    <row r="48" spans="1:44" x14ac:dyDescent="0.25">
      <c r="A48" s="8" t="s">
        <v>74</v>
      </c>
      <c r="B48" s="8"/>
      <c r="C48" s="32"/>
      <c r="D48" s="32"/>
      <c r="E48" s="32"/>
      <c r="F48" s="32"/>
      <c r="G48" s="32"/>
      <c r="H48" s="31"/>
      <c r="AO48" s="58">
        <v>250</v>
      </c>
      <c r="AP48">
        <v>93.63</v>
      </c>
      <c r="AQ48">
        <v>93.72</v>
      </c>
      <c r="AR48">
        <v>93.809999999999988</v>
      </c>
    </row>
    <row r="49" spans="1:54" x14ac:dyDescent="0.25">
      <c r="A49" s="8" t="s">
        <v>75</v>
      </c>
      <c r="B49" s="33"/>
      <c r="C49" s="33"/>
      <c r="D49" s="33"/>
      <c r="E49" s="33" t="s">
        <v>78</v>
      </c>
      <c r="F49" s="33" t="s">
        <v>79</v>
      </c>
      <c r="G49" s="33"/>
      <c r="S49" s="69" t="s">
        <v>109</v>
      </c>
      <c r="T49" s="69"/>
      <c r="U49" s="69"/>
      <c r="V49" s="69"/>
      <c r="W49" s="69"/>
      <c r="X49" s="69"/>
      <c r="Y49" s="69"/>
      <c r="Z49" s="69"/>
      <c r="AA49" s="69"/>
      <c r="AE49" s="69" t="s">
        <v>111</v>
      </c>
      <c r="AF49" s="69"/>
      <c r="AG49" s="69"/>
      <c r="AH49" s="69"/>
      <c r="AI49" s="69"/>
      <c r="AJ49" s="69"/>
      <c r="AK49" s="69"/>
      <c r="AL49" s="69"/>
      <c r="AM49" s="69"/>
      <c r="AO49" s="58">
        <v>385</v>
      </c>
      <c r="AP49">
        <v>145.56</v>
      </c>
      <c r="AQ49">
        <v>145.62</v>
      </c>
      <c r="AR49">
        <v>145.71</v>
      </c>
    </row>
    <row r="50" spans="1:54" x14ac:dyDescent="0.25">
      <c r="A50" s="8"/>
      <c r="B50" s="33" t="s">
        <v>76</v>
      </c>
      <c r="C50" s="8">
        <v>349.5</v>
      </c>
      <c r="D50" s="8"/>
      <c r="E50" s="8">
        <f>$C$29/2-C50/2</f>
        <v>0.15000000000000568</v>
      </c>
      <c r="F50" s="8">
        <f>$C$27-C50*3/4</f>
        <v>0.375</v>
      </c>
      <c r="G50" s="8"/>
      <c r="R50" t="s">
        <v>101</v>
      </c>
      <c r="S50">
        <v>6.4000000000000001E-2</v>
      </c>
      <c r="T50">
        <v>0.1444</v>
      </c>
      <c r="U50">
        <v>0.17480000000000001</v>
      </c>
      <c r="V50">
        <v>0.2099</v>
      </c>
      <c r="W50">
        <v>0.30409999999999998</v>
      </c>
      <c r="X50">
        <v>0.38519999999999999</v>
      </c>
      <c r="Y50">
        <v>0.46</v>
      </c>
      <c r="Z50">
        <v>0.61770000000000003</v>
      </c>
      <c r="AA50" s="4">
        <v>0.77380000000000004</v>
      </c>
      <c r="AD50" t="s">
        <v>101</v>
      </c>
      <c r="AE50">
        <f>S50*$AF$1</f>
        <v>19.2</v>
      </c>
      <c r="AF50">
        <f>T50*$AF$1</f>
        <v>43.32</v>
      </c>
      <c r="AG50">
        <f>U50*$AF$1</f>
        <v>52.440000000000005</v>
      </c>
      <c r="AH50">
        <f>V50*$AF$1</f>
        <v>62.97</v>
      </c>
      <c r="AI50">
        <f t="shared" ref="AI50:AJ55" si="58">W50*$AF$1</f>
        <v>91.22999999999999</v>
      </c>
      <c r="AJ50">
        <f t="shared" si="58"/>
        <v>115.56</v>
      </c>
      <c r="AK50">
        <f t="shared" ref="AK50:AK55" si="59">Y50*$AF$1</f>
        <v>138</v>
      </c>
      <c r="AL50">
        <f t="shared" ref="AL50:AL55" si="60">Z50*$AF$1</f>
        <v>185.31</v>
      </c>
      <c r="AM50">
        <f t="shared" ref="AM50:AM55" si="61">AA50*$AF$1</f>
        <v>232.14000000000001</v>
      </c>
      <c r="AO50" s="58">
        <v>521</v>
      </c>
      <c r="AP50">
        <v>197.76</v>
      </c>
      <c r="AQ50">
        <v>197.85</v>
      </c>
      <c r="AR50">
        <v>197.91</v>
      </c>
    </row>
    <row r="51" spans="1:54" x14ac:dyDescent="0.25">
      <c r="A51" s="8"/>
      <c r="B51" s="33" t="s">
        <v>77</v>
      </c>
      <c r="C51" s="8">
        <v>349.2</v>
      </c>
      <c r="D51" s="8"/>
      <c r="E51" s="8">
        <f>$C$29/2-C51/2</f>
        <v>0.30000000000001137</v>
      </c>
      <c r="F51" s="8">
        <f>$C$27-C51*3/4</f>
        <v>0.60000000000002274</v>
      </c>
      <c r="G51" s="8"/>
      <c r="R51" t="s">
        <v>102</v>
      </c>
      <c r="S51" s="11">
        <v>6.3700000000000007E-2</v>
      </c>
      <c r="T51">
        <v>0.14380000000000001</v>
      </c>
      <c r="U51">
        <v>0.1744</v>
      </c>
      <c r="V51">
        <v>0.20949999999999999</v>
      </c>
      <c r="W51">
        <v>0.30320000000000003</v>
      </c>
      <c r="X51">
        <v>0.38479999999999998</v>
      </c>
      <c r="Y51">
        <v>0.45929999999999999</v>
      </c>
      <c r="Z51">
        <v>0.61670000000000003</v>
      </c>
      <c r="AD51" t="s">
        <v>102</v>
      </c>
      <c r="AE51">
        <f t="shared" ref="AE51:AE55" si="62">S51*$AF$1</f>
        <v>19.110000000000003</v>
      </c>
      <c r="AF51">
        <f t="shared" ref="AF51:AH55" si="63">T51*$AF$1</f>
        <v>43.14</v>
      </c>
      <c r="AG51">
        <f t="shared" si="63"/>
        <v>52.32</v>
      </c>
      <c r="AH51">
        <f t="shared" si="63"/>
        <v>62.849999999999994</v>
      </c>
      <c r="AI51">
        <f t="shared" si="58"/>
        <v>90.960000000000008</v>
      </c>
      <c r="AJ51">
        <f t="shared" si="58"/>
        <v>115.44</v>
      </c>
      <c r="AK51">
        <f t="shared" si="59"/>
        <v>137.79</v>
      </c>
      <c r="AL51">
        <f t="shared" si="60"/>
        <v>185.01000000000002</v>
      </c>
      <c r="AM51">
        <f t="shared" si="61"/>
        <v>0</v>
      </c>
    </row>
    <row r="52" spans="1:54" x14ac:dyDescent="0.25">
      <c r="A52" s="8"/>
      <c r="B52" s="33" t="s">
        <v>80</v>
      </c>
      <c r="C52" s="8">
        <v>349.33330000000001</v>
      </c>
      <c r="D52" s="8"/>
      <c r="E52" s="8">
        <f>$C$29/2-C52/2</f>
        <v>0.2333500000000015</v>
      </c>
      <c r="F52" s="8">
        <f>$C$27-C52*3/4</f>
        <v>0.50002499999999372</v>
      </c>
      <c r="G52" s="8"/>
      <c r="Q52" s="4"/>
      <c r="R52" t="s">
        <v>103</v>
      </c>
      <c r="S52" s="11">
        <v>6.3399999999999998E-2</v>
      </c>
      <c r="T52">
        <v>0.14360000000000001</v>
      </c>
      <c r="U52">
        <v>0.1741</v>
      </c>
      <c r="V52">
        <v>0.2092</v>
      </c>
      <c r="W52">
        <v>0.30280000000000001</v>
      </c>
      <c r="X52">
        <v>0.38429999999999997</v>
      </c>
      <c r="Y52">
        <v>0.45910000000000001</v>
      </c>
      <c r="Z52">
        <v>0.61580000000000001</v>
      </c>
      <c r="AD52" t="s">
        <v>103</v>
      </c>
      <c r="AE52">
        <f t="shared" si="62"/>
        <v>19.02</v>
      </c>
      <c r="AF52">
        <f t="shared" si="63"/>
        <v>43.08</v>
      </c>
      <c r="AG52">
        <f t="shared" si="63"/>
        <v>52.230000000000004</v>
      </c>
      <c r="AH52">
        <f t="shared" si="63"/>
        <v>62.76</v>
      </c>
      <c r="AI52">
        <f t="shared" si="58"/>
        <v>90.84</v>
      </c>
      <c r="AJ52">
        <f t="shared" si="58"/>
        <v>115.28999999999999</v>
      </c>
      <c r="AK52">
        <f t="shared" si="59"/>
        <v>137.72999999999999</v>
      </c>
      <c r="AL52">
        <f t="shared" si="60"/>
        <v>184.74</v>
      </c>
      <c r="AM52">
        <f t="shared" si="61"/>
        <v>0</v>
      </c>
    </row>
    <row r="53" spans="1:54" x14ac:dyDescent="0.25">
      <c r="R53" t="s">
        <v>104</v>
      </c>
      <c r="S53" s="11">
        <v>4.6269999999999999E-2</v>
      </c>
      <c r="T53">
        <v>0.12670000000000001</v>
      </c>
      <c r="U53">
        <v>0.1573</v>
      </c>
      <c r="V53">
        <v>0.19259999999999999</v>
      </c>
      <c r="W53">
        <v>0.28599999999999998</v>
      </c>
      <c r="Y53">
        <v>0.44379999999999997</v>
      </c>
      <c r="Z53">
        <v>0.60460000000000003</v>
      </c>
      <c r="AD53" t="s">
        <v>104</v>
      </c>
      <c r="AE53">
        <f t="shared" si="62"/>
        <v>13.881</v>
      </c>
      <c r="AF53">
        <f t="shared" si="63"/>
        <v>38.010000000000005</v>
      </c>
      <c r="AG53">
        <f t="shared" si="63"/>
        <v>47.19</v>
      </c>
      <c r="AH53">
        <f t="shared" si="63"/>
        <v>57.78</v>
      </c>
      <c r="AI53">
        <f t="shared" si="58"/>
        <v>85.8</v>
      </c>
      <c r="AK53">
        <f t="shared" si="59"/>
        <v>133.13999999999999</v>
      </c>
      <c r="AL53">
        <f t="shared" si="60"/>
        <v>181.38</v>
      </c>
      <c r="AM53">
        <f t="shared" si="61"/>
        <v>0</v>
      </c>
    </row>
    <row r="54" spans="1:54" x14ac:dyDescent="0.25">
      <c r="R54" t="s">
        <v>105</v>
      </c>
      <c r="S54" s="11">
        <v>4.65E-2</v>
      </c>
      <c r="T54">
        <v>0.127</v>
      </c>
      <c r="U54">
        <v>0.15770000000000001</v>
      </c>
      <c r="V54">
        <v>0.1928</v>
      </c>
      <c r="W54">
        <v>0.28520000000000001</v>
      </c>
      <c r="Y54">
        <v>0.44429999999999997</v>
      </c>
      <c r="Z54">
        <v>0.60489999999999999</v>
      </c>
      <c r="AD54" t="s">
        <v>105</v>
      </c>
      <c r="AE54">
        <f t="shared" si="62"/>
        <v>13.95</v>
      </c>
      <c r="AF54">
        <f t="shared" si="63"/>
        <v>38.1</v>
      </c>
      <c r="AG54">
        <f t="shared" si="63"/>
        <v>47.31</v>
      </c>
      <c r="AH54">
        <f t="shared" si="63"/>
        <v>57.839999999999996</v>
      </c>
      <c r="AI54">
        <f t="shared" si="58"/>
        <v>85.56</v>
      </c>
      <c r="AK54">
        <f t="shared" si="59"/>
        <v>133.29</v>
      </c>
      <c r="AL54">
        <f t="shared" si="60"/>
        <v>181.47</v>
      </c>
      <c r="AM54">
        <f t="shared" si="61"/>
        <v>0</v>
      </c>
    </row>
    <row r="55" spans="1:54" x14ac:dyDescent="0.25">
      <c r="R55" t="s">
        <v>106</v>
      </c>
      <c r="S55" s="11">
        <v>4.6730000000000001E-2</v>
      </c>
      <c r="T55">
        <v>0.1273</v>
      </c>
      <c r="U55">
        <v>0.158</v>
      </c>
      <c r="V55">
        <v>0.19350000000000001</v>
      </c>
      <c r="W55">
        <v>0.2853</v>
      </c>
      <c r="Y55">
        <v>0.44469999999999998</v>
      </c>
      <c r="Z55">
        <v>0.60529999999999995</v>
      </c>
      <c r="AD55" t="s">
        <v>106</v>
      </c>
      <c r="AE55">
        <f t="shared" si="62"/>
        <v>14.019</v>
      </c>
      <c r="AF55">
        <f t="shared" si="63"/>
        <v>38.19</v>
      </c>
      <c r="AG55">
        <f t="shared" si="63"/>
        <v>47.4</v>
      </c>
      <c r="AH55">
        <f t="shared" si="63"/>
        <v>58.050000000000004</v>
      </c>
      <c r="AI55">
        <f t="shared" si="58"/>
        <v>85.59</v>
      </c>
      <c r="AK55">
        <f t="shared" si="59"/>
        <v>133.41</v>
      </c>
      <c r="AL55">
        <f t="shared" si="60"/>
        <v>181.58999999999997</v>
      </c>
      <c r="AM55">
        <f t="shared" si="61"/>
        <v>0</v>
      </c>
    </row>
    <row r="56" spans="1:54" ht="23.25" x14ac:dyDescent="0.35">
      <c r="AX56" s="60" t="s">
        <v>140</v>
      </c>
      <c r="AY56" s="1"/>
      <c r="AZ56" s="1"/>
      <c r="BA56" s="1"/>
      <c r="BB56" s="1"/>
    </row>
    <row r="57" spans="1:54" x14ac:dyDescent="0.25">
      <c r="S57" s="69" t="s">
        <v>112</v>
      </c>
      <c r="T57" s="69"/>
      <c r="U57" s="69"/>
      <c r="V57" s="69"/>
      <c r="W57" s="69"/>
      <c r="X57" s="69"/>
      <c r="Y57" s="69"/>
      <c r="Z57" s="69"/>
      <c r="AA57" s="69"/>
      <c r="AE57" s="69" t="s">
        <v>145</v>
      </c>
      <c r="AF57" s="69"/>
      <c r="AG57" s="69"/>
      <c r="AH57" s="69"/>
      <c r="AI57" s="69"/>
      <c r="AJ57" s="69"/>
      <c r="AK57" s="69"/>
      <c r="AL57" s="69"/>
      <c r="AM57" s="69"/>
      <c r="AO57" t="s">
        <v>121</v>
      </c>
      <c r="AP57" t="s">
        <v>101</v>
      </c>
      <c r="AQ57" t="s">
        <v>102</v>
      </c>
      <c r="AR57" t="s">
        <v>103</v>
      </c>
      <c r="AX57" t="s">
        <v>141</v>
      </c>
    </row>
    <row r="58" spans="1:54" x14ac:dyDescent="0.25">
      <c r="R58" t="s">
        <v>101</v>
      </c>
      <c r="S58" s="19">
        <v>1.1288</v>
      </c>
      <c r="T58" s="19">
        <v>1.0509999999999999</v>
      </c>
      <c r="U58" s="19">
        <v>1.0355000000000001</v>
      </c>
      <c r="V58" s="19">
        <v>1.026</v>
      </c>
      <c r="W58" s="53">
        <v>1.0109999999999999</v>
      </c>
      <c r="X58" s="53">
        <v>1.002</v>
      </c>
      <c r="Y58" s="53">
        <v>0.996</v>
      </c>
      <c r="Z58" s="53">
        <v>0.98599999999999999</v>
      </c>
      <c r="AA58" s="36"/>
      <c r="AB58" s="36"/>
      <c r="AD58" t="s">
        <v>101</v>
      </c>
      <c r="AE58">
        <f>(AE42-AE50)/2</f>
        <v>1.7249999999999996</v>
      </c>
      <c r="AF58">
        <f t="shared" ref="AF58:AL58" si="64">(AF42-AF50)/2</f>
        <v>3.3900000000000006</v>
      </c>
      <c r="AG58">
        <f t="shared" ref="AG58" si="65">(AG42-AG50)/2</f>
        <v>4.5</v>
      </c>
      <c r="AH58">
        <f t="shared" si="64"/>
        <v>5.4600000000000009</v>
      </c>
      <c r="AI58">
        <f t="shared" si="64"/>
        <v>7.6950000000000074</v>
      </c>
      <c r="AJ58">
        <f t="shared" ref="AJ58" si="66">(AJ42-AJ50)/2</f>
        <v>10.049999999999997</v>
      </c>
      <c r="AK58">
        <f t="shared" si="64"/>
        <v>11.909999999999997</v>
      </c>
      <c r="AL58">
        <f t="shared" si="64"/>
        <v>15.659999999999997</v>
      </c>
      <c r="AO58" s="58">
        <v>46.602546735302091</v>
      </c>
      <c r="AP58" s="62">
        <v>0.875</v>
      </c>
      <c r="AQ58" s="62">
        <v>0.877</v>
      </c>
      <c r="AR58" s="62">
        <v>0.879</v>
      </c>
    </row>
    <row r="59" spans="1:54" x14ac:dyDescent="0.25">
      <c r="R59" t="s">
        <v>102</v>
      </c>
      <c r="S59" s="53">
        <v>1.1251</v>
      </c>
      <c r="T59" s="19">
        <v>1.0489999999999999</v>
      </c>
      <c r="U59" s="19">
        <v>1.0338000000000001</v>
      </c>
      <c r="V59" s="19">
        <v>1.0245</v>
      </c>
      <c r="W59" s="18">
        <v>1.01</v>
      </c>
      <c r="X59" s="18">
        <v>1.0011000000000001</v>
      </c>
      <c r="Y59" s="19">
        <v>0.99399999999999999</v>
      </c>
      <c r="Z59" s="19">
        <v>0.98499999999999999</v>
      </c>
      <c r="AD59" t="s">
        <v>102</v>
      </c>
      <c r="AE59">
        <f t="shared" ref="AE59:AL59" si="67">(AE43-AE51)/2</f>
        <v>1.7249999999999996</v>
      </c>
      <c r="AF59">
        <f t="shared" si="67"/>
        <v>3.4349999999999987</v>
      </c>
      <c r="AG59">
        <f t="shared" ref="AG59" si="68">(AG43-AG51)/2</f>
        <v>4.514999999999997</v>
      </c>
      <c r="AH59">
        <f t="shared" si="67"/>
        <v>5.4600000000000009</v>
      </c>
      <c r="AI59">
        <f t="shared" si="67"/>
        <v>7.8899999999999935</v>
      </c>
      <c r="AJ59">
        <f t="shared" ref="AJ59" si="69">(AJ43-AJ51)/2</f>
        <v>10.034999999999997</v>
      </c>
      <c r="AK59">
        <f t="shared" si="67"/>
        <v>11.790000000000006</v>
      </c>
      <c r="AL59">
        <f t="shared" si="67"/>
        <v>15.719999999999999</v>
      </c>
      <c r="AO59" s="58">
        <v>114</v>
      </c>
      <c r="AP59" s="62">
        <v>0.91400000000000003</v>
      </c>
      <c r="AQ59" s="62">
        <v>0.91300000000000003</v>
      </c>
      <c r="AR59" s="62">
        <v>0.91200000000000003</v>
      </c>
      <c r="AX59" t="s">
        <v>121</v>
      </c>
      <c r="AY59" t="s">
        <v>142</v>
      </c>
      <c r="AZ59" t="s">
        <v>143</v>
      </c>
      <c r="BA59" t="s">
        <v>144</v>
      </c>
    </row>
    <row r="60" spans="1:54" x14ac:dyDescent="0.25">
      <c r="A60" t="s">
        <v>43</v>
      </c>
      <c r="B60">
        <v>25</v>
      </c>
      <c r="C60">
        <v>50</v>
      </c>
      <c r="D60">
        <v>100</v>
      </c>
      <c r="E60">
        <v>200</v>
      </c>
      <c r="Q60" s="4"/>
      <c r="R60" t="s">
        <v>103</v>
      </c>
      <c r="S60" s="53">
        <v>1.1214999999999999</v>
      </c>
      <c r="T60" s="19">
        <v>1.0469999999999999</v>
      </c>
      <c r="U60" s="19">
        <v>1.0321</v>
      </c>
      <c r="V60" s="19">
        <v>1.0229999999999999</v>
      </c>
      <c r="W60" s="19">
        <v>1.0089999999999999</v>
      </c>
      <c r="X60" s="19">
        <v>1</v>
      </c>
      <c r="Y60" s="19">
        <v>0.99199999999999999</v>
      </c>
      <c r="Z60" s="19">
        <v>0.98399999999999999</v>
      </c>
      <c r="AD60" t="s">
        <v>103</v>
      </c>
      <c r="AE60">
        <f t="shared" ref="AE60:AL60" si="70">(AE44-AE52)/2</f>
        <v>1.7100000000000009</v>
      </c>
      <c r="AF60">
        <f t="shared" si="70"/>
        <v>3.4499999999999993</v>
      </c>
      <c r="AG60">
        <f t="shared" ref="AG60" si="71">(AG44-AG52)/2</f>
        <v>4.5</v>
      </c>
      <c r="AH60">
        <f t="shared" si="70"/>
        <v>5.4450000000000038</v>
      </c>
      <c r="AI60">
        <f t="shared" si="70"/>
        <v>7.904999999999994</v>
      </c>
      <c r="AJ60">
        <f t="shared" ref="AJ60" si="72">(AJ44-AJ52)/2</f>
        <v>10.049999999999997</v>
      </c>
      <c r="AK60">
        <f t="shared" si="70"/>
        <v>11.700000000000003</v>
      </c>
      <c r="AL60">
        <f t="shared" si="70"/>
        <v>15.884999999999991</v>
      </c>
      <c r="AO60" s="58">
        <v>140</v>
      </c>
      <c r="AP60" s="37">
        <v>0.91600000000000004</v>
      </c>
      <c r="AQ60" s="37">
        <v>0.91500000000000004</v>
      </c>
      <c r="AR60" s="37">
        <v>0.91300000000000003</v>
      </c>
      <c r="AX60" s="58">
        <v>46.602546735302091</v>
      </c>
      <c r="AY60" s="59">
        <f t="shared" ref="AY60:BA64" si="73">AP58*AP69</f>
        <v>0.749</v>
      </c>
      <c r="AZ60" s="59">
        <f t="shared" si="73"/>
        <v>0.75422</v>
      </c>
      <c r="BA60" s="59">
        <f t="shared" si="73"/>
        <v>0.75945600000000002</v>
      </c>
    </row>
    <row r="61" spans="1:54" x14ac:dyDescent="0.25">
      <c r="A61" t="s">
        <v>49</v>
      </c>
      <c r="B61">
        <v>8.39</v>
      </c>
      <c r="C61">
        <v>8.23</v>
      </c>
      <c r="D61">
        <v>7.56</v>
      </c>
      <c r="E61">
        <v>4.88</v>
      </c>
      <c r="R61" t="s">
        <v>104</v>
      </c>
      <c r="S61" s="53">
        <v>0.85799999999999998</v>
      </c>
      <c r="T61" s="19">
        <v>0.93799999999999994</v>
      </c>
      <c r="U61" s="19">
        <v>0.94730000000000003</v>
      </c>
      <c r="V61" s="19">
        <v>0.95430000000000004</v>
      </c>
      <c r="W61" s="19">
        <v>0.95799999999999996</v>
      </c>
      <c r="X61" s="19"/>
      <c r="Y61" s="19">
        <v>0.96699999999999997</v>
      </c>
      <c r="Z61" s="52">
        <v>0.97099999999999997</v>
      </c>
      <c r="AD61" t="s">
        <v>104</v>
      </c>
      <c r="AE61">
        <f t="shared" ref="AE61:AL61" si="74">(AE45-AE53)/2</f>
        <v>1.7774999999999999</v>
      </c>
      <c r="AF61">
        <f t="shared" si="74"/>
        <v>3.6899999999999977</v>
      </c>
      <c r="AG61">
        <f t="shared" ref="AG61" si="75">(AG45-AG53)/2</f>
        <v>4.5</v>
      </c>
      <c r="AH61">
        <f t="shared" si="74"/>
        <v>5.4750000000000014</v>
      </c>
      <c r="AI61">
        <f t="shared" si="74"/>
        <v>7.9349999999999952</v>
      </c>
      <c r="AK61">
        <f t="shared" si="74"/>
        <v>12.210000000000008</v>
      </c>
      <c r="AL61">
        <f t="shared" si="74"/>
        <v>16.245000000000005</v>
      </c>
      <c r="AO61" s="58">
        <v>170</v>
      </c>
      <c r="AP61" s="37">
        <v>0.90200000000000002</v>
      </c>
      <c r="AQ61" s="37">
        <v>0.89900000000000002</v>
      </c>
      <c r="AR61" s="37">
        <v>0.89700000000000002</v>
      </c>
      <c r="AX61" s="58">
        <v>114</v>
      </c>
      <c r="AY61" s="59">
        <f t="shared" si="73"/>
        <v>0.83174000000000003</v>
      </c>
      <c r="AZ61" s="59">
        <f t="shared" si="73"/>
        <v>0.82900400000000007</v>
      </c>
      <c r="BA61" s="59">
        <f t="shared" si="73"/>
        <v>0.82627200000000001</v>
      </c>
    </row>
    <row r="62" spans="1:54" x14ac:dyDescent="0.25">
      <c r="A62" t="s">
        <v>54</v>
      </c>
      <c r="B62">
        <v>7.89</v>
      </c>
      <c r="C62">
        <v>7.73</v>
      </c>
      <c r="D62">
        <v>7.06</v>
      </c>
      <c r="E62">
        <v>4.38</v>
      </c>
      <c r="R62" t="s">
        <v>105</v>
      </c>
      <c r="S62" s="53">
        <v>0.86199999999999999</v>
      </c>
      <c r="T62" s="19">
        <v>0.94</v>
      </c>
      <c r="U62" s="19">
        <v>0.94899999999999995</v>
      </c>
      <c r="V62" s="19">
        <v>0.95540000000000003</v>
      </c>
      <c r="W62" s="19">
        <v>0.95899999999999996</v>
      </c>
      <c r="X62" s="19"/>
      <c r="Y62" s="19">
        <v>0.96699999999999997</v>
      </c>
      <c r="Z62" s="19">
        <v>0.97099999999999997</v>
      </c>
      <c r="AD62" t="s">
        <v>105</v>
      </c>
      <c r="AE62">
        <f t="shared" ref="AE62:AL62" si="76">(AE46-AE54)/2</f>
        <v>1.7685000000000013</v>
      </c>
      <c r="AF62">
        <f t="shared" si="76"/>
        <v>3.6749999999999972</v>
      </c>
      <c r="AG62">
        <f t="shared" ref="AG62" si="77">(AG46-AG54)/2</f>
        <v>4.4849999999999959</v>
      </c>
      <c r="AH62">
        <f t="shared" si="76"/>
        <v>5.475000000000005</v>
      </c>
      <c r="AI62">
        <f t="shared" si="76"/>
        <v>8.0850000000000009</v>
      </c>
      <c r="AK62">
        <f t="shared" si="76"/>
        <v>12.165000000000006</v>
      </c>
      <c r="AL62">
        <f t="shared" si="76"/>
        <v>16.24499999999999</v>
      </c>
      <c r="AO62">
        <v>250</v>
      </c>
      <c r="AP62" s="62">
        <v>0.83</v>
      </c>
      <c r="AQ62" s="62">
        <v>0.82</v>
      </c>
      <c r="AR62" s="62">
        <v>0.80900000000000005</v>
      </c>
      <c r="AX62">
        <v>140</v>
      </c>
      <c r="AY62" s="59">
        <f t="shared" si="73"/>
        <v>0.83905600000000002</v>
      </c>
      <c r="AZ62" s="59">
        <f t="shared" si="73"/>
        <v>0.8367675</v>
      </c>
      <c r="BA62" s="59">
        <f t="shared" si="73"/>
        <v>0.83356900000000012</v>
      </c>
    </row>
    <row r="63" spans="1:54" x14ac:dyDescent="0.25">
      <c r="A63" t="s">
        <v>50</v>
      </c>
      <c r="B63">
        <v>7.39</v>
      </c>
      <c r="C63">
        <v>7.23</v>
      </c>
      <c r="D63">
        <v>6.56</v>
      </c>
      <c r="E63">
        <v>3.88</v>
      </c>
      <c r="R63" t="s">
        <v>106</v>
      </c>
      <c r="S63" s="53">
        <v>0.86499999999999999</v>
      </c>
      <c r="T63" s="19">
        <v>0.94199999999999995</v>
      </c>
      <c r="U63" s="19">
        <v>0.95069999999999999</v>
      </c>
      <c r="V63" s="19">
        <v>0.95660000000000001</v>
      </c>
      <c r="W63" s="18">
        <v>0.96</v>
      </c>
      <c r="X63" s="18"/>
      <c r="Y63" s="19">
        <v>0.96799999999999997</v>
      </c>
      <c r="Z63" s="19">
        <v>0.97099999999999997</v>
      </c>
      <c r="AD63" t="s">
        <v>106</v>
      </c>
      <c r="AE63">
        <f t="shared" ref="AE63:AL63" si="78">(AE47-AE55)/2</f>
        <v>1.7625000000000002</v>
      </c>
      <c r="AF63">
        <f t="shared" si="78"/>
        <v>3.66</v>
      </c>
      <c r="AG63">
        <f t="shared" ref="AG63" si="79">(AG47-AG55)/2</f>
        <v>4.4699999999999989</v>
      </c>
      <c r="AH63">
        <f t="shared" si="78"/>
        <v>5.4149999999999956</v>
      </c>
      <c r="AI63">
        <f t="shared" si="78"/>
        <v>8.0999999999999943</v>
      </c>
      <c r="AK63">
        <f t="shared" si="78"/>
        <v>12.165000000000006</v>
      </c>
      <c r="AL63">
        <f t="shared" si="78"/>
        <v>16.215000000000018</v>
      </c>
      <c r="AO63">
        <v>320</v>
      </c>
      <c r="AP63" s="62">
        <v>0.72499999999999998</v>
      </c>
      <c r="AQ63" s="62">
        <v>0.71099999999999997</v>
      </c>
      <c r="AR63" s="62">
        <v>0.68300000000000005</v>
      </c>
      <c r="AX63" s="58">
        <v>170</v>
      </c>
      <c r="AY63" s="59">
        <f t="shared" si="73"/>
        <v>0.82082000000000011</v>
      </c>
      <c r="AZ63" s="59">
        <f t="shared" si="73"/>
        <v>0.81629200000000002</v>
      </c>
      <c r="BA63" s="59">
        <f t="shared" si="73"/>
        <v>0.81268200000000002</v>
      </c>
    </row>
    <row r="64" spans="1:54" x14ac:dyDescent="0.25">
      <c r="A64" t="s">
        <v>55</v>
      </c>
      <c r="B64">
        <v>8.51</v>
      </c>
      <c r="C64">
        <v>8.67</v>
      </c>
      <c r="D64">
        <v>9.34</v>
      </c>
      <c r="E64">
        <v>12.02</v>
      </c>
      <c r="AO64">
        <v>385</v>
      </c>
      <c r="AP64" s="62">
        <v>0.57999999999999996</v>
      </c>
      <c r="AQ64" s="62">
        <v>0.54</v>
      </c>
      <c r="AR64" s="62">
        <v>0.498</v>
      </c>
      <c r="AX64" s="58">
        <v>250</v>
      </c>
      <c r="AY64" s="59">
        <f t="shared" si="73"/>
        <v>0.71628999999999998</v>
      </c>
      <c r="AZ64" s="59">
        <f t="shared" si="73"/>
        <v>0.70355999999999996</v>
      </c>
      <c r="BA64" s="59">
        <f t="shared" si="73"/>
        <v>0.69169500000000006</v>
      </c>
    </row>
    <row r="65" spans="1:53" x14ac:dyDescent="0.25">
      <c r="A65" t="s">
        <v>56</v>
      </c>
      <c r="B65">
        <v>8.01</v>
      </c>
      <c r="C65">
        <v>8.17</v>
      </c>
      <c r="D65">
        <v>8.84</v>
      </c>
      <c r="E65">
        <v>11.52</v>
      </c>
      <c r="S65" s="69" t="s">
        <v>153</v>
      </c>
      <c r="T65" s="69"/>
      <c r="U65" s="69"/>
      <c r="V65" s="69"/>
      <c r="W65" s="69"/>
      <c r="X65" s="69"/>
      <c r="Y65" s="69"/>
      <c r="Z65" s="69"/>
      <c r="AA65" s="69"/>
      <c r="AE65" s="69" t="s">
        <v>146</v>
      </c>
      <c r="AF65" s="69"/>
      <c r="AG65" s="69"/>
      <c r="AH65" s="69"/>
      <c r="AI65" s="69"/>
      <c r="AJ65" s="69"/>
      <c r="AK65" s="69"/>
      <c r="AL65" s="69"/>
      <c r="AM65" s="69"/>
      <c r="AO65">
        <v>521</v>
      </c>
      <c r="AP65" s="62">
        <v>0</v>
      </c>
      <c r="AQ65" s="62">
        <v>-0.12</v>
      </c>
      <c r="AR65" s="62">
        <v>-0.27</v>
      </c>
      <c r="AX65">
        <v>385</v>
      </c>
      <c r="AY65" s="59">
        <f t="shared" ref="AY65:BA66" si="80">AP64*AP74</f>
        <v>0.45994000000000002</v>
      </c>
      <c r="AZ65" s="59">
        <f t="shared" si="80"/>
        <v>0.42282000000000003</v>
      </c>
      <c r="BA65" s="59">
        <f t="shared" si="80"/>
        <v>0.38644800000000001</v>
      </c>
    </row>
    <row r="66" spans="1:53" x14ac:dyDescent="0.25">
      <c r="A66" t="s">
        <v>57</v>
      </c>
      <c r="B66">
        <v>7.51</v>
      </c>
      <c r="C66">
        <v>7.67</v>
      </c>
      <c r="D66">
        <v>8.34</v>
      </c>
      <c r="E66">
        <v>11.02</v>
      </c>
      <c r="R66" t="s">
        <v>101</v>
      </c>
      <c r="S66">
        <v>5.4817999999999998</v>
      </c>
      <c r="T66">
        <v>12.766999999999999</v>
      </c>
      <c r="U66">
        <v>16.219000000000001</v>
      </c>
      <c r="V66">
        <v>19.265000000000001</v>
      </c>
      <c r="W66">
        <v>24.795000000000002</v>
      </c>
      <c r="X66">
        <v>30.241</v>
      </c>
      <c r="Y66">
        <v>33.624000000000002</v>
      </c>
      <c r="Z66" s="11">
        <v>43.469000000000001</v>
      </c>
      <c r="AA66" s="4"/>
      <c r="AD66" t="s">
        <v>101</v>
      </c>
      <c r="AE66" s="62">
        <f>AE58/AE5</f>
        <v>8.3819241982507273E-2</v>
      </c>
      <c r="AF66" s="62">
        <f t="shared" ref="AF66:AL66" si="81">AF58/AF5</f>
        <v>7.2343149807938559E-2</v>
      </c>
      <c r="AG66" s="62">
        <f t="shared" ref="AG66" si="82">AG58/AG5</f>
        <v>7.9365079365079361E-2</v>
      </c>
      <c r="AH66" s="62">
        <f t="shared" si="81"/>
        <v>8.003518029903256E-2</v>
      </c>
      <c r="AI66" s="62">
        <f t="shared" si="81"/>
        <v>7.7868852459016466E-2</v>
      </c>
      <c r="AJ66" s="62">
        <f t="shared" ref="AJ66" si="83">AJ58/AJ5</f>
        <v>8.0105212816834026E-2</v>
      </c>
      <c r="AK66" s="62">
        <f t="shared" si="81"/>
        <v>7.9543177719895788E-2</v>
      </c>
      <c r="AL66" s="62">
        <f t="shared" si="81"/>
        <v>7.8003586371787198E-2</v>
      </c>
      <c r="AX66">
        <v>521</v>
      </c>
      <c r="AY66" s="59">
        <f t="shared" si="80"/>
        <v>0</v>
      </c>
      <c r="AZ66" s="59">
        <f t="shared" si="80"/>
        <v>-8.6639999999999995E-2</v>
      </c>
      <c r="BA66" s="59">
        <f t="shared" si="80"/>
        <v>-0.19305</v>
      </c>
    </row>
    <row r="67" spans="1:53" x14ac:dyDescent="0.25">
      <c r="R67" t="s">
        <v>102</v>
      </c>
      <c r="S67">
        <v>5.1562999999999999</v>
      </c>
      <c r="T67">
        <v>12.131</v>
      </c>
      <c r="U67">
        <v>15.201000000000001</v>
      </c>
      <c r="V67">
        <v>18.055</v>
      </c>
      <c r="W67">
        <v>23.117999999999999</v>
      </c>
      <c r="X67">
        <v>28.11</v>
      </c>
      <c r="Y67">
        <v>32.207999999999998</v>
      </c>
      <c r="Z67" s="11">
        <v>40.1</v>
      </c>
      <c r="AD67" t="s">
        <v>102</v>
      </c>
      <c r="AE67" s="62">
        <f t="shared" ref="AE67:AL67" si="84">AE59/AE6</f>
        <v>8.418740849194728E-2</v>
      </c>
      <c r="AF67" s="62">
        <f t="shared" si="84"/>
        <v>7.3491655969191258E-2</v>
      </c>
      <c r="AG67" s="62">
        <f t="shared" ref="AG67" si="85">AG59/AG6</f>
        <v>7.9756226815050291E-2</v>
      </c>
      <c r="AH67" s="62">
        <f t="shared" si="84"/>
        <v>8.0176211453744498E-2</v>
      </c>
      <c r="AI67" s="62">
        <f t="shared" si="84"/>
        <v>7.9914919477362428E-2</v>
      </c>
      <c r="AJ67" s="62">
        <f t="shared" ref="AJ67" si="86">AJ59/AJ6</f>
        <v>8.0062230732407827E-2</v>
      </c>
      <c r="AK67" s="62">
        <f t="shared" si="84"/>
        <v>7.8836509528585799E-2</v>
      </c>
      <c r="AL67" s="62">
        <f t="shared" si="84"/>
        <v>7.8314153340307863E-2</v>
      </c>
    </row>
    <row r="68" spans="1:53" x14ac:dyDescent="0.25">
      <c r="R68" t="s">
        <v>103</v>
      </c>
      <c r="S68">
        <v>4.83</v>
      </c>
      <c r="T68">
        <v>11.696</v>
      </c>
      <c r="U68">
        <v>14.191000000000001</v>
      </c>
      <c r="V68">
        <v>16.905999999999999</v>
      </c>
      <c r="W68">
        <v>21.46</v>
      </c>
      <c r="X68">
        <v>26</v>
      </c>
      <c r="Y68">
        <v>29.666</v>
      </c>
      <c r="Z68" s="11">
        <v>36.6</v>
      </c>
      <c r="AD68" t="s">
        <v>103</v>
      </c>
      <c r="AE68" s="62">
        <f t="shared" ref="AE68:AL68" si="87">AE60/AE7</f>
        <v>8.3700440528634401E-2</v>
      </c>
      <c r="AF68" s="62">
        <f t="shared" si="87"/>
        <v>7.3954983922829565E-2</v>
      </c>
      <c r="AG68" s="62">
        <f t="shared" ref="AG68" si="88">AG60/AG7</f>
        <v>7.9617834394904455E-2</v>
      </c>
      <c r="AH68" s="62">
        <f t="shared" si="87"/>
        <v>8.0061755624172962E-2</v>
      </c>
      <c r="AI68" s="62">
        <f t="shared" si="87"/>
        <v>8.0164283541222944E-2</v>
      </c>
      <c r="AJ68" s="62">
        <f t="shared" ref="AJ68" si="89">AJ60/AJ7</f>
        <v>8.0277977474239134E-2</v>
      </c>
      <c r="AK68" s="62">
        <f t="shared" si="87"/>
        <v>7.8328981723237615E-2</v>
      </c>
      <c r="AL68" s="62">
        <f t="shared" si="87"/>
        <v>7.9183490354418976E-2</v>
      </c>
      <c r="AO68" t="s">
        <v>121</v>
      </c>
      <c r="AP68" t="s">
        <v>104</v>
      </c>
      <c r="AQ68" t="s">
        <v>105</v>
      </c>
      <c r="AR68" t="s">
        <v>106</v>
      </c>
    </row>
    <row r="69" spans="1:53" x14ac:dyDescent="0.25">
      <c r="R69" t="s">
        <v>104</v>
      </c>
      <c r="S69" s="11">
        <v>5.6818</v>
      </c>
      <c r="T69">
        <v>14.837999999999999</v>
      </c>
      <c r="U69">
        <v>19.126999999999999</v>
      </c>
      <c r="V69">
        <v>24.905999999999999</v>
      </c>
      <c r="W69">
        <v>39.853999999999999</v>
      </c>
      <c r="Y69">
        <v>83.59</v>
      </c>
      <c r="Z69">
        <v>154.97</v>
      </c>
      <c r="AD69" t="s">
        <v>104</v>
      </c>
      <c r="AE69" s="62">
        <f t="shared" ref="AE69:AL69" si="90">AE61/AE8</f>
        <v>0.11370178468624065</v>
      </c>
      <c r="AF69" s="62">
        <f t="shared" si="90"/>
        <v>8.8235294117647009E-2</v>
      </c>
      <c r="AG69" s="62">
        <f t="shared" ref="AG69" si="91">AG61/AG8</f>
        <v>8.6755349913244656E-2</v>
      </c>
      <c r="AH69" s="62">
        <f t="shared" si="90"/>
        <v>8.6288416075650146E-2</v>
      </c>
      <c r="AI69" s="62">
        <f t="shared" si="90"/>
        <v>8.4748478051906398E-2</v>
      </c>
      <c r="AJ69" s="62"/>
      <c r="AK69" s="62">
        <f t="shared" si="90"/>
        <v>8.3882934872217693E-2</v>
      </c>
      <c r="AL69" s="62">
        <f t="shared" si="90"/>
        <v>8.2145024271844683E-2</v>
      </c>
      <c r="AO69" s="58">
        <v>46.602546735302091</v>
      </c>
      <c r="AP69" s="10">
        <v>0.85599999999999998</v>
      </c>
      <c r="AQ69" s="10">
        <v>0.86</v>
      </c>
      <c r="AR69" s="10">
        <v>0.86399999999999999</v>
      </c>
    </row>
    <row r="70" spans="1:53" x14ac:dyDescent="0.25">
      <c r="R70" t="s">
        <v>105</v>
      </c>
      <c r="S70" s="11">
        <v>5.3551000000000002</v>
      </c>
      <c r="T70">
        <v>14.042</v>
      </c>
      <c r="U70">
        <v>18.204000000000001</v>
      </c>
      <c r="V70">
        <v>23.72</v>
      </c>
      <c r="W70">
        <v>37.975000000000001</v>
      </c>
      <c r="Y70">
        <v>80.811999999999998</v>
      </c>
      <c r="Z70">
        <v>151.09</v>
      </c>
      <c r="AD70" t="s">
        <v>105</v>
      </c>
      <c r="AE70" s="62">
        <f t="shared" ref="AE70:AL70" si="92">AE62/AE9</f>
        <v>0.1126504872921843</v>
      </c>
      <c r="AF70" s="62">
        <f t="shared" si="92"/>
        <v>8.7687902648532504E-2</v>
      </c>
      <c r="AG70" s="62">
        <f t="shared" ref="AG70" si="93">AG62/AG9</f>
        <v>8.6316397228637334E-2</v>
      </c>
      <c r="AH70" s="62">
        <f t="shared" si="92"/>
        <v>8.6206896551724213E-2</v>
      </c>
      <c r="AI70" s="62">
        <f t="shared" si="92"/>
        <v>8.6267605633802827E-2</v>
      </c>
      <c r="AJ70" s="62"/>
      <c r="AK70" s="62">
        <f t="shared" si="92"/>
        <v>8.3539348990523316E-2</v>
      </c>
      <c r="AL70" s="62">
        <f t="shared" si="92"/>
        <v>8.2107657316148552E-2</v>
      </c>
      <c r="AO70" s="58">
        <v>114</v>
      </c>
      <c r="AP70" s="10">
        <v>0.91</v>
      </c>
      <c r="AQ70" s="10">
        <v>0.90800000000000003</v>
      </c>
      <c r="AR70" s="10">
        <v>0.90600000000000003</v>
      </c>
    </row>
    <row r="71" spans="1:53" x14ac:dyDescent="0.25">
      <c r="R71" t="s">
        <v>106</v>
      </c>
      <c r="S71" s="11">
        <v>5.0186000000000002</v>
      </c>
      <c r="T71">
        <v>13.231999999999999</v>
      </c>
      <c r="U71">
        <v>17.239999999999998</v>
      </c>
      <c r="V71">
        <v>22.629000000000001</v>
      </c>
      <c r="W71">
        <v>36.448999999999998</v>
      </c>
      <c r="Y71">
        <v>78.004000000000005</v>
      </c>
      <c r="Z71">
        <v>147.69999999999999</v>
      </c>
      <c r="AD71" t="s">
        <v>106</v>
      </c>
      <c r="AE71" s="62">
        <f t="shared" ref="AE71:AL71" si="94">AE63/AE10</f>
        <v>0.11179828734538536</v>
      </c>
      <c r="AF71" s="62">
        <f t="shared" si="94"/>
        <v>8.7142857142857133E-2</v>
      </c>
      <c r="AG71" s="62">
        <f t="shared" ref="AG71" si="95">AG63/AG10</f>
        <v>8.5878962536023035E-2</v>
      </c>
      <c r="AH71" s="62">
        <f t="shared" si="94"/>
        <v>8.5101367279585033E-2</v>
      </c>
      <c r="AI71" s="62">
        <f t="shared" si="94"/>
        <v>8.6344739366805201E-2</v>
      </c>
      <c r="AJ71" s="62"/>
      <c r="AK71" s="62">
        <f t="shared" si="94"/>
        <v>8.3487749639695324E-2</v>
      </c>
      <c r="AL71" s="62">
        <f t="shared" si="94"/>
        <v>8.1931180839775741E-2</v>
      </c>
      <c r="AO71" s="58">
        <v>140</v>
      </c>
      <c r="AP71" s="9">
        <v>0.91600000000000004</v>
      </c>
      <c r="AQ71" s="9">
        <v>0.91449999999999998</v>
      </c>
      <c r="AR71" s="9">
        <v>0.91300000000000003</v>
      </c>
    </row>
    <row r="72" spans="1:53" x14ac:dyDescent="0.25">
      <c r="AO72" s="58">
        <v>170</v>
      </c>
      <c r="AP72" s="19">
        <v>0.91</v>
      </c>
      <c r="AQ72" s="19">
        <v>0.90800000000000003</v>
      </c>
      <c r="AR72" s="19">
        <v>0.90600000000000003</v>
      </c>
    </row>
    <row r="73" spans="1:53" x14ac:dyDescent="0.25">
      <c r="S73" s="69" t="s">
        <v>154</v>
      </c>
      <c r="T73" s="69"/>
      <c r="U73" s="69"/>
      <c r="V73" s="69"/>
      <c r="W73" s="69"/>
      <c r="X73" s="69"/>
      <c r="Y73" s="69"/>
      <c r="Z73" s="69"/>
      <c r="AA73" s="69"/>
      <c r="AB73" s="5" t="s">
        <v>159</v>
      </c>
      <c r="AE73" s="69" t="s">
        <v>107</v>
      </c>
      <c r="AF73" s="69"/>
      <c r="AG73" s="69"/>
      <c r="AH73" s="69"/>
      <c r="AI73" s="69"/>
      <c r="AJ73" s="69"/>
      <c r="AK73" s="69"/>
      <c r="AL73" s="69"/>
      <c r="AM73" s="69"/>
      <c r="AO73">
        <v>250</v>
      </c>
      <c r="AP73" s="9">
        <v>0.86299999999999999</v>
      </c>
      <c r="AQ73" s="9">
        <v>0.85799999999999998</v>
      </c>
      <c r="AR73" s="9">
        <v>0.85499999999999998</v>
      </c>
    </row>
    <row r="74" spans="1:53" x14ac:dyDescent="0.25">
      <c r="R74" t="s">
        <v>101</v>
      </c>
      <c r="S74" s="11">
        <f>S66/($S$4*PI()/30)</f>
        <v>1.1233333481216548</v>
      </c>
      <c r="T74" s="11">
        <f>T66/($T$4*PI()/30)</f>
        <v>1.0694374518180145</v>
      </c>
      <c r="U74" s="11">
        <f>U66/($U$4*PI()/30)</f>
        <v>1.1062860094317646</v>
      </c>
      <c r="V74" s="11">
        <f>V66/($V$4*PI()/30)</f>
        <v>1.0821599924701284</v>
      </c>
      <c r="W74" s="11">
        <f>W66/($W$4*PI()/30)</f>
        <v>0.94709923535125096</v>
      </c>
      <c r="X74" s="11">
        <f>X66/($X$4*PI()/30)</f>
        <v>0.90243836888287632</v>
      </c>
      <c r="Y74" s="11">
        <f>Y66/($Y$4*PI()/30)</f>
        <v>0.8339884373800347</v>
      </c>
      <c r="Z74" s="11">
        <f t="shared" ref="Z74:Z79" si="96">Z66/($Z$4*PI()/30)</f>
        <v>0.79714886798746809</v>
      </c>
      <c r="AA74" s="4"/>
      <c r="AD74" t="s">
        <v>101</v>
      </c>
      <c r="AE74">
        <f t="shared" ref="AE74:AL74" si="97">S74*$AF$1</f>
        <v>337.0000044364964</v>
      </c>
      <c r="AF74">
        <f t="shared" si="97"/>
        <v>320.83123554540435</v>
      </c>
      <c r="AG74">
        <f t="shared" si="97"/>
        <v>331.88580282952938</v>
      </c>
      <c r="AH74">
        <f t="shared" si="97"/>
        <v>324.64799774103852</v>
      </c>
      <c r="AI74">
        <f t="shared" si="97"/>
        <v>284.12977060537531</v>
      </c>
      <c r="AJ74">
        <f t="shared" si="97"/>
        <v>270.73151066486287</v>
      </c>
      <c r="AK74">
        <f t="shared" si="97"/>
        <v>250.19653121401041</v>
      </c>
      <c r="AL74">
        <f t="shared" si="97"/>
        <v>239.14466039624043</v>
      </c>
      <c r="AM74" s="4"/>
      <c r="AO74">
        <v>385</v>
      </c>
      <c r="AP74" s="9">
        <v>0.79300000000000004</v>
      </c>
      <c r="AQ74" s="9">
        <v>0.78300000000000003</v>
      </c>
      <c r="AR74" s="9">
        <v>0.77600000000000002</v>
      </c>
    </row>
    <row r="75" spans="1:53" x14ac:dyDescent="0.25">
      <c r="R75" t="s">
        <v>102</v>
      </c>
      <c r="S75" s="11">
        <f t="shared" ref="S75:S79" si="98">S67/($S$4*PI()/30)</f>
        <v>1.0566317163923689</v>
      </c>
      <c r="T75" s="11">
        <f t="shared" ref="T75:T79" si="99">T67/($T$4*PI()/30)</f>
        <v>1.0161624287619908</v>
      </c>
      <c r="U75" s="11">
        <f t="shared" ref="U75:U79" si="100">U67/($U$4*PI()/30)</f>
        <v>1.0368489814028148</v>
      </c>
      <c r="V75" s="11">
        <f t="shared" ref="V75:V79" si="101">V67/($V$4*PI()/30)</f>
        <v>1.014191469714413</v>
      </c>
      <c r="W75" s="11">
        <f t="shared" ref="W75:W79" si="102">W67/($W$4*PI()/30)</f>
        <v>0.8830425538556248</v>
      </c>
      <c r="X75" s="11">
        <f t="shared" ref="X75:X79" si="103">X67/($X$4*PI()/30)</f>
        <v>0.83884602193372093</v>
      </c>
      <c r="Y75" s="11">
        <f t="shared" ref="Y75:Y79" si="104">Y67/($Y$4*PI()/30)</f>
        <v>0.79886686863954781</v>
      </c>
      <c r="Z75" s="11">
        <f t="shared" si="96"/>
        <v>0.73536703412311011</v>
      </c>
      <c r="AD75" t="s">
        <v>102</v>
      </c>
      <c r="AE75">
        <f t="shared" ref="AE75:AE79" si="105">S75*$AF$1</f>
        <v>316.98951491771066</v>
      </c>
      <c r="AF75">
        <f t="shared" ref="AF75:AF79" si="106">T75*$AF$1</f>
        <v>304.84872862859726</v>
      </c>
      <c r="AG75">
        <f t="shared" ref="AG75:AG79" si="107">U75*$AF$1</f>
        <v>311.05469442084444</v>
      </c>
      <c r="AH75">
        <f t="shared" ref="AH75:AH79" si="108">V75*$AF$1</f>
        <v>304.25744091432392</v>
      </c>
      <c r="AI75">
        <f t="shared" ref="AI75:AI79" si="109">W75*$AF$1</f>
        <v>264.91276615668744</v>
      </c>
      <c r="AJ75">
        <f t="shared" ref="AJ75:AJ76" si="110">X75*$AF$1</f>
        <v>251.65380658011628</v>
      </c>
      <c r="AK75">
        <f t="shared" ref="AK75:AK76" si="111">Y75*$AF$1</f>
        <v>239.66006059186435</v>
      </c>
      <c r="AL75">
        <f t="shared" ref="AL75:AL79" si="112">Z75*$AF$1</f>
        <v>220.61011023693302</v>
      </c>
      <c r="AO75">
        <v>521</v>
      </c>
      <c r="AP75" s="9">
        <v>0.72899999999999998</v>
      </c>
      <c r="AQ75" s="9">
        <v>0.72199999999999998</v>
      </c>
      <c r="AR75" s="9">
        <v>0.71499999999999997</v>
      </c>
    </row>
    <row r="76" spans="1:53" x14ac:dyDescent="0.25">
      <c r="R76" t="s">
        <v>103</v>
      </c>
      <c r="S76" s="11">
        <f t="shared" si="98"/>
        <v>0.98976614824101439</v>
      </c>
      <c r="T76" s="11">
        <f t="shared" si="99"/>
        <v>0.9797243233698989</v>
      </c>
      <c r="U76" s="11">
        <f t="shared" si="100"/>
        <v>0.9679576274644659</v>
      </c>
      <c r="V76" s="11">
        <f t="shared" si="101"/>
        <v>0.94964945926291144</v>
      </c>
      <c r="W76" s="11">
        <f t="shared" si="102"/>
        <v>0.81971161890049782</v>
      </c>
      <c r="X76" s="11">
        <f t="shared" si="103"/>
        <v>0.77588034757298985</v>
      </c>
      <c r="Y76" s="11">
        <f t="shared" si="104"/>
        <v>0.73581670780740271</v>
      </c>
      <c r="Z76" s="11">
        <f t="shared" si="96"/>
        <v>0.671182879025083</v>
      </c>
      <c r="AD76" t="s">
        <v>103</v>
      </c>
      <c r="AE76">
        <f t="shared" si="105"/>
        <v>296.9298444723043</v>
      </c>
      <c r="AF76">
        <f t="shared" si="106"/>
        <v>293.91729701096966</v>
      </c>
      <c r="AG76">
        <f t="shared" si="107"/>
        <v>290.3872882393398</v>
      </c>
      <c r="AH76">
        <f t="shared" si="108"/>
        <v>284.89483777887341</v>
      </c>
      <c r="AI76">
        <f t="shared" si="109"/>
        <v>245.91348567014936</v>
      </c>
      <c r="AJ76">
        <f t="shared" si="110"/>
        <v>232.76410427189694</v>
      </c>
      <c r="AK76">
        <f t="shared" si="111"/>
        <v>220.7450123422208</v>
      </c>
      <c r="AL76">
        <f t="shared" si="112"/>
        <v>201.35486370752491</v>
      </c>
    </row>
    <row r="77" spans="1:53" x14ac:dyDescent="0.25">
      <c r="R77" t="s">
        <v>104</v>
      </c>
      <c r="S77" s="11">
        <f t="shared" si="98"/>
        <v>1.164317453638881</v>
      </c>
      <c r="T77" s="11">
        <f t="shared" si="99"/>
        <v>1.2429163397881806</v>
      </c>
      <c r="U77" s="11">
        <f t="shared" si="100"/>
        <v>1.3046385413651496</v>
      </c>
      <c r="V77" s="11">
        <f t="shared" si="101"/>
        <v>1.3990281221106158</v>
      </c>
      <c r="W77" s="11">
        <f t="shared" si="102"/>
        <v>1.5223106644762554</v>
      </c>
      <c r="X77" s="11">
        <f t="shared" si="103"/>
        <v>0</v>
      </c>
      <c r="Y77" s="11">
        <f t="shared" si="104"/>
        <v>2.0733135106054337</v>
      </c>
      <c r="Z77" s="11">
        <f t="shared" si="96"/>
        <v>2.8418910044403582</v>
      </c>
      <c r="AD77" t="s">
        <v>104</v>
      </c>
      <c r="AE77">
        <f t="shared" si="105"/>
        <v>349.29523609166426</v>
      </c>
      <c r="AF77">
        <f t="shared" si="106"/>
        <v>372.87490193645419</v>
      </c>
      <c r="AG77">
        <f t="shared" si="107"/>
        <v>391.39156240954486</v>
      </c>
      <c r="AH77">
        <f t="shared" si="108"/>
        <v>419.70843663318476</v>
      </c>
      <c r="AI77">
        <f t="shared" si="109"/>
        <v>456.6931993428766</v>
      </c>
      <c r="AK77">
        <f>Y77*$AF$1</f>
        <v>621.99405318163008</v>
      </c>
      <c r="AL77">
        <f t="shared" si="112"/>
        <v>852.56730133210749</v>
      </c>
    </row>
    <row r="78" spans="1:53" x14ac:dyDescent="0.25">
      <c r="R78" t="s">
        <v>105</v>
      </c>
      <c r="S78" s="11">
        <f t="shared" si="98"/>
        <v>1.0973699172764919</v>
      </c>
      <c r="T78" s="11">
        <f t="shared" si="99"/>
        <v>1.1762387952086286</v>
      </c>
      <c r="U78" s="11">
        <f t="shared" si="100"/>
        <v>1.2416813931620843</v>
      </c>
      <c r="V78" s="11">
        <f t="shared" si="101"/>
        <v>1.3324077353434436</v>
      </c>
      <c r="W78" s="11">
        <f t="shared" si="102"/>
        <v>1.4505381513395343</v>
      </c>
      <c r="X78" s="11">
        <f t="shared" si="103"/>
        <v>0</v>
      </c>
      <c r="Y78" s="11">
        <f t="shared" si="104"/>
        <v>2.0044097549832069</v>
      </c>
      <c r="Z78" s="11">
        <f t="shared" si="96"/>
        <v>2.7707382839316885</v>
      </c>
      <c r="AD78" t="s">
        <v>105</v>
      </c>
      <c r="AE78">
        <f t="shared" si="105"/>
        <v>329.21097518294755</v>
      </c>
      <c r="AF78">
        <f t="shared" si="106"/>
        <v>352.8716385625886</v>
      </c>
      <c r="AG78">
        <f t="shared" si="107"/>
        <v>372.5044179486253</v>
      </c>
      <c r="AH78">
        <f t="shared" si="108"/>
        <v>399.7223206030331</v>
      </c>
      <c r="AI78">
        <f t="shared" si="109"/>
        <v>435.16144540186031</v>
      </c>
      <c r="AK78">
        <f t="shared" ref="AK78:AK79" si="113">Y78*$AF$1</f>
        <v>601.32292649496208</v>
      </c>
      <c r="AL78">
        <f t="shared" si="112"/>
        <v>831.22148517950654</v>
      </c>
      <c r="AP78" s="61"/>
    </row>
    <row r="79" spans="1:53" x14ac:dyDescent="0.25">
      <c r="R79" t="s">
        <v>106</v>
      </c>
      <c r="S79" s="11">
        <f t="shared" si="98"/>
        <v>1.0284141597437588</v>
      </c>
      <c r="T79" s="11">
        <f t="shared" si="99"/>
        <v>1.1083885299957679</v>
      </c>
      <c r="U79" s="11">
        <f t="shared" si="100"/>
        <v>1.1759276652446895</v>
      </c>
      <c r="V79" s="11">
        <f t="shared" si="101"/>
        <v>1.271123720197588</v>
      </c>
      <c r="W79" s="11">
        <f t="shared" si="102"/>
        <v>1.3922492449815584</v>
      </c>
      <c r="X79" s="11">
        <f t="shared" si="103"/>
        <v>0</v>
      </c>
      <c r="Y79" s="11">
        <f t="shared" si="104"/>
        <v>1.9347618983283437</v>
      </c>
      <c r="Z79" s="11">
        <f t="shared" si="96"/>
        <v>2.7085713451367419</v>
      </c>
      <c r="AD79" t="s">
        <v>106</v>
      </c>
      <c r="AE79">
        <f t="shared" si="105"/>
        <v>308.52424792312763</v>
      </c>
      <c r="AF79">
        <f t="shared" si="106"/>
        <v>332.51655899873037</v>
      </c>
      <c r="AG79">
        <f t="shared" si="107"/>
        <v>352.77829957340685</v>
      </c>
      <c r="AH79">
        <f t="shared" si="108"/>
        <v>381.33711605927641</v>
      </c>
      <c r="AI79">
        <f t="shared" si="109"/>
        <v>417.67477349446756</v>
      </c>
      <c r="AK79">
        <f t="shared" si="113"/>
        <v>580.42856949850307</v>
      </c>
      <c r="AL79">
        <f t="shared" si="112"/>
        <v>812.57140354102262</v>
      </c>
    </row>
    <row r="80" spans="1:53" x14ac:dyDescent="0.25">
      <c r="Y80" t="s">
        <v>161</v>
      </c>
    </row>
    <row r="82" spans="13:50" x14ac:dyDescent="0.25">
      <c r="AX82" s="61"/>
    </row>
    <row r="83" spans="13:50" x14ac:dyDescent="0.25">
      <c r="AD83" t="s">
        <v>121</v>
      </c>
      <c r="AE83" t="s">
        <v>101</v>
      </c>
      <c r="AF83" t="s">
        <v>102</v>
      </c>
      <c r="AG83" t="s">
        <v>103</v>
      </c>
    </row>
    <row r="84" spans="13:50" x14ac:dyDescent="0.25">
      <c r="AD84" s="58">
        <v>46.602546735302091</v>
      </c>
      <c r="AE84" s="13">
        <v>337.0000044364964</v>
      </c>
      <c r="AF84" s="13">
        <v>316.98951491771066</v>
      </c>
      <c r="AG84" s="13">
        <v>296.9298444723043</v>
      </c>
    </row>
    <row r="85" spans="13:50" x14ac:dyDescent="0.25">
      <c r="M85" s="1" t="s">
        <v>162</v>
      </c>
      <c r="N85" s="1"/>
      <c r="O85" s="1"/>
      <c r="P85" s="1"/>
      <c r="AD85" s="58">
        <v>114</v>
      </c>
      <c r="AE85" s="13">
        <v>320.83123554540435</v>
      </c>
      <c r="AF85" s="13">
        <v>304.84872862859726</v>
      </c>
      <c r="AG85" s="13">
        <f>P88-$O$96</f>
        <v>278.91729701096966</v>
      </c>
    </row>
    <row r="86" spans="13:50" x14ac:dyDescent="0.25">
      <c r="M86" s="1" t="s">
        <v>121</v>
      </c>
      <c r="N86" s="1" t="s">
        <v>101</v>
      </c>
      <c r="O86" s="1" t="s">
        <v>102</v>
      </c>
      <c r="P86" s="1" t="s">
        <v>103</v>
      </c>
      <c r="AD86" s="58">
        <v>140</v>
      </c>
      <c r="AE86" s="13">
        <f>N89-$O$96</f>
        <v>316</v>
      </c>
      <c r="AF86" s="13">
        <f t="shared" ref="AF86:AG86" si="114">O89-$O$96</f>
        <v>296.05469442084444</v>
      </c>
      <c r="AG86" s="13">
        <f t="shared" si="114"/>
        <v>275.3872882393398</v>
      </c>
    </row>
    <row r="87" spans="13:50" x14ac:dyDescent="0.25">
      <c r="M87" s="65">
        <v>46.602546735302091</v>
      </c>
      <c r="N87" s="66">
        <v>337.0000044364964</v>
      </c>
      <c r="O87" s="66">
        <v>316.98951491771066</v>
      </c>
      <c r="P87" s="66">
        <v>296.9298444723043</v>
      </c>
      <c r="AD87" s="58">
        <v>170</v>
      </c>
      <c r="AE87" s="13">
        <f>N90-$O$96</f>
        <v>309.64799774103852</v>
      </c>
      <c r="AF87" s="13">
        <f t="shared" ref="AF87" si="115">O90-$O$96</f>
        <v>289.25744091432392</v>
      </c>
      <c r="AG87" s="13">
        <f t="shared" ref="AG87" si="116">P90-$O$96</f>
        <v>269.89483777887341</v>
      </c>
    </row>
    <row r="88" spans="13:50" x14ac:dyDescent="0.25">
      <c r="M88" s="65">
        <v>114</v>
      </c>
      <c r="N88" s="66">
        <v>320.83123554540435</v>
      </c>
      <c r="O88" s="66">
        <v>304.84872862859726</v>
      </c>
      <c r="P88" s="66">
        <v>293.91729701096966</v>
      </c>
      <c r="AD88">
        <v>250</v>
      </c>
      <c r="AE88" s="13">
        <v>284.12977060537531</v>
      </c>
      <c r="AF88" s="13">
        <v>264.91276615668744</v>
      </c>
      <c r="AG88" s="13">
        <v>245.91348567014936</v>
      </c>
      <c r="AO88" t="s">
        <v>121</v>
      </c>
      <c r="AP88" t="s">
        <v>101</v>
      </c>
      <c r="AQ88" t="s">
        <v>102</v>
      </c>
      <c r="AR88" t="s">
        <v>103</v>
      </c>
    </row>
    <row r="89" spans="13:50" x14ac:dyDescent="0.25">
      <c r="M89" s="65">
        <v>140</v>
      </c>
      <c r="N89" s="66">
        <v>331</v>
      </c>
      <c r="O89" s="66">
        <v>311.05469442084444</v>
      </c>
      <c r="P89" s="66">
        <v>290.3872882393398</v>
      </c>
      <c r="AD89" s="58">
        <v>320</v>
      </c>
      <c r="AE89" s="13">
        <v>270.73151066486287</v>
      </c>
      <c r="AF89" s="13">
        <v>251.65380658011628</v>
      </c>
      <c r="AG89" s="13">
        <v>232.76410427189694</v>
      </c>
      <c r="AO89" s="58">
        <v>46.602546735302091</v>
      </c>
      <c r="AP89">
        <v>288</v>
      </c>
      <c r="AQ89">
        <v>271.5</v>
      </c>
      <c r="AR89">
        <v>254.1</v>
      </c>
    </row>
    <row r="90" spans="13:50" x14ac:dyDescent="0.25">
      <c r="M90" s="65">
        <v>170</v>
      </c>
      <c r="N90" s="66">
        <v>324.64799774103852</v>
      </c>
      <c r="O90" s="66">
        <v>304.25744091432392</v>
      </c>
      <c r="P90" s="66">
        <v>284.89483777887341</v>
      </c>
      <c r="AD90">
        <v>385</v>
      </c>
      <c r="AE90" s="13">
        <v>250.19653121401041</v>
      </c>
      <c r="AF90" s="13">
        <v>239.66006059186435</v>
      </c>
      <c r="AG90" s="13">
        <v>220.7450123422208</v>
      </c>
      <c r="AO90" s="58">
        <v>114</v>
      </c>
      <c r="AP90">
        <v>270</v>
      </c>
      <c r="AQ90">
        <v>252</v>
      </c>
      <c r="AR90">
        <v>234</v>
      </c>
    </row>
    <row r="91" spans="13:50" x14ac:dyDescent="0.25">
      <c r="M91" s="1">
        <v>250</v>
      </c>
      <c r="N91" s="66">
        <v>284.12977060537531</v>
      </c>
      <c r="O91" s="66">
        <v>264.91276615668744</v>
      </c>
      <c r="P91" s="66">
        <v>245.91348567014936</v>
      </c>
      <c r="AD91">
        <v>521</v>
      </c>
      <c r="AE91" s="13">
        <v>239.14466039624043</v>
      </c>
      <c r="AF91" s="13">
        <v>220.61011023693302</v>
      </c>
      <c r="AG91" s="13">
        <v>201.35486370752491</v>
      </c>
      <c r="AO91">
        <v>170</v>
      </c>
      <c r="AP91">
        <v>264</v>
      </c>
      <c r="AQ91">
        <v>249</v>
      </c>
      <c r="AR91">
        <v>237</v>
      </c>
    </row>
    <row r="92" spans="13:50" x14ac:dyDescent="0.25">
      <c r="M92" s="65">
        <v>320</v>
      </c>
      <c r="N92" s="66">
        <v>270.73151066486287</v>
      </c>
      <c r="O92" s="66">
        <v>251.65380658011628</v>
      </c>
      <c r="P92" s="66">
        <v>232.76410427189694</v>
      </c>
      <c r="AK92">
        <v>189.58636292946005</v>
      </c>
      <c r="AL92">
        <v>171.38600046850749</v>
      </c>
      <c r="AM92">
        <v>152.77382459230469</v>
      </c>
      <c r="AO92">
        <v>250</v>
      </c>
      <c r="AP92">
        <v>235.20000000000002</v>
      </c>
      <c r="AQ92">
        <v>240</v>
      </c>
      <c r="AR92">
        <v>228</v>
      </c>
    </row>
    <row r="93" spans="13:50" x14ac:dyDescent="0.25">
      <c r="M93" s="1">
        <v>385</v>
      </c>
      <c r="N93" s="66">
        <v>250.19653121401041</v>
      </c>
      <c r="O93" s="66">
        <v>239.66006059186435</v>
      </c>
      <c r="P93" s="66">
        <v>220.7450123422208</v>
      </c>
      <c r="AD93" t="s">
        <v>121</v>
      </c>
      <c r="AE93" t="s">
        <v>104</v>
      </c>
      <c r="AF93" t="s">
        <v>105</v>
      </c>
      <c r="AG93" t="s">
        <v>106</v>
      </c>
      <c r="AO93">
        <v>320</v>
      </c>
      <c r="AP93">
        <v>293.39999999999998</v>
      </c>
      <c r="AQ93">
        <v>281.31</v>
      </c>
      <c r="AR93">
        <v>270.84000000000003</v>
      </c>
    </row>
    <row r="94" spans="13:50" x14ac:dyDescent="0.25">
      <c r="M94" s="1">
        <v>521</v>
      </c>
      <c r="N94" s="66">
        <v>239.14466039624043</v>
      </c>
      <c r="O94" s="66">
        <v>220.61011023693302</v>
      </c>
      <c r="P94" s="66">
        <v>201.35486370752491</v>
      </c>
      <c r="AD94" s="58">
        <v>46.602546735302091</v>
      </c>
      <c r="AE94" s="13">
        <f>N102</f>
        <v>349.29523609166426</v>
      </c>
      <c r="AF94" s="13">
        <f t="shared" ref="AF94:AG94" si="117">O102</f>
        <v>329.21097518294755</v>
      </c>
      <c r="AG94" s="13">
        <f t="shared" si="117"/>
        <v>308.52424792312763</v>
      </c>
      <c r="AO94" s="4">
        <v>385</v>
      </c>
      <c r="AP94" s="4">
        <v>345</v>
      </c>
      <c r="AQ94" s="4">
        <v>330</v>
      </c>
      <c r="AR94" s="4">
        <v>318</v>
      </c>
    </row>
    <row r="95" spans="13:50" x14ac:dyDescent="0.25">
      <c r="AD95" s="58">
        <v>114</v>
      </c>
      <c r="AE95" s="13">
        <f t="shared" ref="AE95:AE100" si="118">N103</f>
        <v>372.87490193645419</v>
      </c>
      <c r="AF95" s="13">
        <f t="shared" ref="AF95:AF100" si="119">O103</f>
        <v>352.8716385625886</v>
      </c>
      <c r="AG95" s="13">
        <f t="shared" ref="AG95:AG100" si="120">P103</f>
        <v>332.51655899873037</v>
      </c>
      <c r="AO95" s="4">
        <v>521</v>
      </c>
      <c r="AP95" s="4">
        <v>462</v>
      </c>
      <c r="AQ95" s="4">
        <v>444</v>
      </c>
      <c r="AR95" s="4">
        <v>450</v>
      </c>
    </row>
    <row r="96" spans="13:50" x14ac:dyDescent="0.25">
      <c r="N96" t="s">
        <v>163</v>
      </c>
      <c r="O96" s="66">
        <v>15</v>
      </c>
      <c r="AD96" s="58">
        <v>140</v>
      </c>
      <c r="AE96" s="13">
        <f t="shared" si="118"/>
        <v>391.39156240954486</v>
      </c>
      <c r="AF96" s="13">
        <f t="shared" si="119"/>
        <v>372.5044179486253</v>
      </c>
      <c r="AG96" s="13">
        <f t="shared" si="120"/>
        <v>352.77829957340685</v>
      </c>
    </row>
    <row r="97" spans="13:44" x14ac:dyDescent="0.25">
      <c r="AD97" s="58">
        <v>170</v>
      </c>
      <c r="AE97" s="13">
        <f>N105-$O$110</f>
        <v>404.70843663318476</v>
      </c>
      <c r="AF97" s="13">
        <f t="shared" ref="AF97:AG97" si="121">O105-$O$110</f>
        <v>384.7223206030331</v>
      </c>
      <c r="AG97" s="13">
        <f t="shared" si="121"/>
        <v>366.33711605927641</v>
      </c>
      <c r="AO97" t="s">
        <v>121</v>
      </c>
      <c r="AP97" t="s">
        <v>101</v>
      </c>
      <c r="AQ97" t="s">
        <v>102</v>
      </c>
      <c r="AR97" t="s">
        <v>103</v>
      </c>
    </row>
    <row r="98" spans="13:44" x14ac:dyDescent="0.25">
      <c r="AD98">
        <v>250</v>
      </c>
      <c r="AE98" s="13">
        <f t="shared" si="118"/>
        <v>456.6931993428766</v>
      </c>
      <c r="AF98" s="13">
        <f t="shared" si="119"/>
        <v>435.16144540186031</v>
      </c>
      <c r="AG98" s="13">
        <f t="shared" si="120"/>
        <v>417.67477349446756</v>
      </c>
      <c r="AO98" s="58">
        <v>46.602546735302091</v>
      </c>
      <c r="AP98" s="13">
        <v>304.29035370176001</v>
      </c>
      <c r="AQ98" s="13">
        <v>285.84851408347157</v>
      </c>
      <c r="AR98" s="13">
        <v>267.40667446518302</v>
      </c>
    </row>
    <row r="99" spans="13:44" x14ac:dyDescent="0.25">
      <c r="AD99">
        <v>385</v>
      </c>
      <c r="AE99" s="13">
        <f t="shared" si="118"/>
        <v>621.99405318163008</v>
      </c>
      <c r="AF99" s="13">
        <f t="shared" si="119"/>
        <v>601.32292649496208</v>
      </c>
      <c r="AG99" s="13">
        <f t="shared" si="120"/>
        <v>580.42856949850307</v>
      </c>
      <c r="AO99" s="58">
        <v>114</v>
      </c>
      <c r="AP99" s="13">
        <v>289.39826558744915</v>
      </c>
      <c r="AQ99" s="13">
        <v>270.60617041943294</v>
      </c>
      <c r="AR99" s="13">
        <v>253.31744286485804</v>
      </c>
    </row>
    <row r="100" spans="13:44" x14ac:dyDescent="0.25">
      <c r="M100" s="1" t="s">
        <v>164</v>
      </c>
      <c r="N100" s="1"/>
      <c r="O100" s="1"/>
      <c r="P100" s="1"/>
      <c r="AD100">
        <v>521</v>
      </c>
      <c r="AE100" s="13">
        <f t="shared" si="118"/>
        <v>852.56730133210749</v>
      </c>
      <c r="AF100" s="13">
        <f t="shared" si="119"/>
        <v>831.22148517950654</v>
      </c>
      <c r="AG100" s="13">
        <f t="shared" si="120"/>
        <v>812.57140354102262</v>
      </c>
      <c r="AO100" s="58">
        <v>140</v>
      </c>
      <c r="AP100" s="13">
        <v>284.63724750963399</v>
      </c>
      <c r="AQ100" s="13">
        <v>266.22074695185751</v>
      </c>
      <c r="AR100" s="13">
        <v>248.00887417805632</v>
      </c>
    </row>
    <row r="101" spans="13:44" x14ac:dyDescent="0.25">
      <c r="M101" s="1" t="s">
        <v>121</v>
      </c>
      <c r="N101" s="1" t="s">
        <v>104</v>
      </c>
      <c r="O101" s="1" t="s">
        <v>105</v>
      </c>
      <c r="P101" s="1" t="s">
        <v>106</v>
      </c>
      <c r="AO101" s="58">
        <v>170</v>
      </c>
      <c r="AP101" s="13">
        <v>272.99753767998044</v>
      </c>
      <c r="AQ101" s="13">
        <v>256.14583782319153</v>
      </c>
      <c r="AR101" s="13">
        <v>235.92379799504485</v>
      </c>
    </row>
    <row r="102" spans="13:44" x14ac:dyDescent="0.25">
      <c r="M102" s="65">
        <v>46.602546735302091</v>
      </c>
      <c r="N102" s="1">
        <v>349.29523609166426</v>
      </c>
      <c r="O102" s="1">
        <v>329.21097518294755</v>
      </c>
      <c r="P102" s="1">
        <v>308.52424792312763</v>
      </c>
      <c r="AO102">
        <v>250</v>
      </c>
      <c r="AP102" s="13">
        <v>233.26629912896198</v>
      </c>
      <c r="AQ102" s="13">
        <v>214.45820028080576</v>
      </c>
      <c r="AR102" s="13">
        <v>197.25567084651652</v>
      </c>
    </row>
    <row r="103" spans="13:44" x14ac:dyDescent="0.25">
      <c r="M103" s="65">
        <v>114</v>
      </c>
      <c r="N103" s="1">
        <v>372.87490193645419</v>
      </c>
      <c r="O103" s="1">
        <v>352.8716385625886</v>
      </c>
      <c r="P103" s="1">
        <v>332.51655899873037</v>
      </c>
      <c r="AO103" s="58">
        <v>320</v>
      </c>
      <c r="AP103" s="13">
        <v>189.58636292946005</v>
      </c>
      <c r="AQ103" s="13">
        <v>171.38600046850749</v>
      </c>
      <c r="AR103" s="13">
        <v>152.77382459230469</v>
      </c>
    </row>
    <row r="104" spans="13:44" x14ac:dyDescent="0.25">
      <c r="M104" s="65">
        <v>140</v>
      </c>
      <c r="N104" s="1">
        <v>391.39156240954486</v>
      </c>
      <c r="O104" s="1">
        <v>372.5044179486253</v>
      </c>
      <c r="P104" s="1">
        <v>352.77829957340685</v>
      </c>
      <c r="AO104">
        <v>385</v>
      </c>
      <c r="AP104" s="13">
        <v>136.82071462800113</v>
      </c>
      <c r="AQ104" s="13">
        <v>116.00017109765314</v>
      </c>
      <c r="AR104" s="13">
        <v>98.153990928783415</v>
      </c>
    </row>
    <row r="105" spans="13:44" x14ac:dyDescent="0.25">
      <c r="M105" s="65">
        <v>170</v>
      </c>
      <c r="N105" s="1">
        <v>419.70843663318476</v>
      </c>
      <c r="O105" s="1">
        <v>399.7223206030331</v>
      </c>
      <c r="P105" s="1">
        <v>381.33711605927641</v>
      </c>
      <c r="AO105">
        <v>521</v>
      </c>
      <c r="AP105" s="13">
        <v>0</v>
      </c>
      <c r="AQ105" s="13">
        <v>-19.255246529408119</v>
      </c>
      <c r="AR105" s="13">
        <v>-38.510493058816238</v>
      </c>
    </row>
    <row r="106" spans="13:44" x14ac:dyDescent="0.25">
      <c r="M106" s="1">
        <v>250</v>
      </c>
      <c r="N106" s="1">
        <v>456.6931993428766</v>
      </c>
      <c r="O106" s="1">
        <v>435.16144540186031</v>
      </c>
      <c r="P106" s="1">
        <v>417.67477349446756</v>
      </c>
    </row>
    <row r="107" spans="13:44" x14ac:dyDescent="0.25">
      <c r="M107" s="1">
        <v>385</v>
      </c>
      <c r="N107" s="1">
        <v>621.99405318163008</v>
      </c>
      <c r="O107" s="1">
        <v>601.32292649496208</v>
      </c>
      <c r="P107" s="1">
        <v>580.42856949850307</v>
      </c>
      <c r="AO107" t="s">
        <v>121</v>
      </c>
      <c r="AP107" t="s">
        <v>104</v>
      </c>
      <c r="AQ107" t="s">
        <v>105</v>
      </c>
      <c r="AR107" t="s">
        <v>106</v>
      </c>
    </row>
    <row r="108" spans="13:44" x14ac:dyDescent="0.25">
      <c r="M108" s="1">
        <v>521</v>
      </c>
      <c r="N108" s="1">
        <v>852.56730133210749</v>
      </c>
      <c r="O108" s="1">
        <v>831.22148517950654</v>
      </c>
      <c r="P108" s="1">
        <v>812.57140354102262</v>
      </c>
      <c r="AO108" s="58">
        <v>46.602546735302091</v>
      </c>
      <c r="AP108" s="13">
        <v>312.2818175363517</v>
      </c>
      <c r="AQ108" s="13">
        <v>294.45470590533949</v>
      </c>
      <c r="AR108" s="13">
        <v>276.012866287051</v>
      </c>
    </row>
    <row r="109" spans="13:44" x14ac:dyDescent="0.25">
      <c r="AO109" s="58">
        <v>114</v>
      </c>
      <c r="AP109" s="13">
        <v>325.22852704113325</v>
      </c>
      <c r="AQ109" s="13">
        <v>307.18811567983778</v>
      </c>
      <c r="AR109" s="13">
        <v>288.89714304963536</v>
      </c>
    </row>
    <row r="110" spans="13:44" x14ac:dyDescent="0.25">
      <c r="N110" t="s">
        <v>163</v>
      </c>
      <c r="O110" s="1">
        <v>15</v>
      </c>
      <c r="AO110" s="58">
        <v>140</v>
      </c>
      <c r="AP110" s="13">
        <v>332.11089339190221</v>
      </c>
      <c r="AQ110" s="13">
        <v>314.30827618605156</v>
      </c>
      <c r="AR110" s="13">
        <v>296.09640341225048</v>
      </c>
    </row>
    <row r="111" spans="13:44" x14ac:dyDescent="0.25">
      <c r="AO111" s="58">
        <v>170</v>
      </c>
      <c r="AP111" s="13">
        <v>342.08950709281504</v>
      </c>
      <c r="AQ111" s="13">
        <v>325.23780723602607</v>
      </c>
      <c r="AR111" s="13">
        <v>306.70093739355832</v>
      </c>
    </row>
    <row r="112" spans="13:44" x14ac:dyDescent="0.25">
      <c r="AO112">
        <v>250</v>
      </c>
      <c r="AP112" s="13">
        <v>384.18982403245951</v>
      </c>
      <c r="AQ112" s="13">
        <v>365.84045930255098</v>
      </c>
      <c r="AR112" s="13">
        <v>347.49109457264251</v>
      </c>
    </row>
    <row r="113" spans="40:44" x14ac:dyDescent="0.25">
      <c r="AO113">
        <v>385</v>
      </c>
      <c r="AP113" s="13">
        <v>481.10327371911268</v>
      </c>
      <c r="AQ113" s="13">
        <v>464.00068439061255</v>
      </c>
      <c r="AR113" s="13">
        <v>446.1545042217428</v>
      </c>
    </row>
    <row r="114" spans="40:44" x14ac:dyDescent="0.25">
      <c r="AO114">
        <v>521</v>
      </c>
      <c r="AP114" s="13">
        <v>616.1678889410598</v>
      </c>
      <c r="AQ114" s="13">
        <v>598.56309211417238</v>
      </c>
      <c r="AR114" s="13">
        <v>580.40814538644474</v>
      </c>
    </row>
    <row r="117" spans="40:44" x14ac:dyDescent="0.25">
      <c r="AN117" t="s">
        <v>156</v>
      </c>
      <c r="AO117" s="1" t="s">
        <v>122</v>
      </c>
      <c r="AP117" s="1" t="s">
        <v>104</v>
      </c>
      <c r="AQ117" s="1" t="s">
        <v>105</v>
      </c>
      <c r="AR117" s="1" t="s">
        <v>106</v>
      </c>
    </row>
    <row r="118" spans="40:44" x14ac:dyDescent="0.25">
      <c r="AN118" s="58">
        <v>46.602546735302091</v>
      </c>
      <c r="AO118" s="1">
        <v>25</v>
      </c>
      <c r="AP118" s="1">
        <v>306</v>
      </c>
      <c r="AQ118" s="1">
        <v>288</v>
      </c>
      <c r="AR118" s="1">
        <v>270</v>
      </c>
    </row>
    <row r="119" spans="40:44" x14ac:dyDescent="0.25">
      <c r="AN119" s="58">
        <v>114</v>
      </c>
      <c r="AO119" s="1">
        <v>50</v>
      </c>
      <c r="AP119" s="1">
        <v>327</v>
      </c>
      <c r="AQ119" s="1">
        <v>312</v>
      </c>
      <c r="AR119" s="1">
        <v>294</v>
      </c>
    </row>
    <row r="120" spans="40:44" x14ac:dyDescent="0.25">
      <c r="AN120" s="58">
        <v>170</v>
      </c>
      <c r="AO120" s="1">
        <v>67.8</v>
      </c>
      <c r="AP120" s="1">
        <v>366</v>
      </c>
      <c r="AQ120" s="1">
        <v>348</v>
      </c>
      <c r="AR120" s="1">
        <v>333.00000000000006</v>
      </c>
    </row>
    <row r="121" spans="40:44" x14ac:dyDescent="0.25">
      <c r="AN121" s="58">
        <v>250</v>
      </c>
      <c r="AO121" s="1">
        <v>100</v>
      </c>
      <c r="AP121" s="1">
        <v>429</v>
      </c>
      <c r="AQ121" s="1">
        <v>408.00000000000006</v>
      </c>
      <c r="AR121" s="1">
        <v>390</v>
      </c>
    </row>
    <row r="122" spans="40:44" x14ac:dyDescent="0.25">
      <c r="AN122">
        <v>385</v>
      </c>
      <c r="AO122" s="1">
        <v>150</v>
      </c>
      <c r="AP122" s="1">
        <v>576</v>
      </c>
      <c r="AQ122" s="1">
        <v>552</v>
      </c>
      <c r="AR122" s="1">
        <v>540</v>
      </c>
    </row>
    <row r="123" spans="40:44" x14ac:dyDescent="0.25">
      <c r="AN123">
        <v>521</v>
      </c>
      <c r="AO123" s="1">
        <v>200</v>
      </c>
      <c r="AP123" s="1">
        <v>774</v>
      </c>
      <c r="AQ123" s="1">
        <v>750</v>
      </c>
      <c r="AR123" s="1">
        <v>750</v>
      </c>
    </row>
    <row r="124" spans="40:44" x14ac:dyDescent="0.25">
      <c r="AO124" s="1"/>
      <c r="AP124" s="1"/>
      <c r="AQ124" s="1"/>
      <c r="AR124" s="1"/>
    </row>
    <row r="125" spans="40:44" x14ac:dyDescent="0.25">
      <c r="AO125" s="1"/>
      <c r="AP125" s="1" t="s">
        <v>126</v>
      </c>
      <c r="AQ125" s="1">
        <v>360</v>
      </c>
      <c r="AR125" s="1" t="s">
        <v>41</v>
      </c>
    </row>
    <row r="126" spans="40:44" x14ac:dyDescent="0.25">
      <c r="AO126" s="1"/>
      <c r="AP126" s="1" t="s">
        <v>123</v>
      </c>
      <c r="AQ126" s="1" t="s">
        <v>124</v>
      </c>
      <c r="AR126" s="1" t="s">
        <v>125</v>
      </c>
    </row>
    <row r="127" spans="40:44" x14ac:dyDescent="0.25">
      <c r="AO127" s="1"/>
      <c r="AP127" s="1">
        <v>1.04E-2</v>
      </c>
      <c r="AQ127" s="1">
        <v>0.35980000000000001</v>
      </c>
      <c r="AR127" s="1">
        <v>287.7</v>
      </c>
    </row>
    <row r="128" spans="40:44" x14ac:dyDescent="0.25">
      <c r="AO128" s="1"/>
      <c r="AP128" s="1" t="s">
        <v>122</v>
      </c>
      <c r="AQ128" s="1">
        <v>67.855670827408858</v>
      </c>
      <c r="AR128" s="1"/>
    </row>
    <row r="129" spans="41:44" x14ac:dyDescent="0.25">
      <c r="AO129" s="1"/>
      <c r="AP129" s="1" t="s">
        <v>127</v>
      </c>
      <c r="AQ129" s="1">
        <f>$AP$127*AQ128*AQ128+$AQ$127*AQ128+$AR$127</f>
        <v>360.0001478234534</v>
      </c>
      <c r="AR129" s="1"/>
    </row>
    <row r="130" spans="41:44" x14ac:dyDescent="0.25">
      <c r="AO130" s="1"/>
      <c r="AP130" s="1"/>
      <c r="AQ130" s="1"/>
      <c r="AR130" s="1"/>
    </row>
    <row r="131" spans="41:44" x14ac:dyDescent="0.25">
      <c r="AO131" s="1" t="s">
        <v>147</v>
      </c>
      <c r="AP131" s="1"/>
      <c r="AQ131" s="1">
        <v>67.8</v>
      </c>
      <c r="AR131" s="1" t="s">
        <v>128</v>
      </c>
    </row>
    <row r="132" spans="41:44" x14ac:dyDescent="0.25">
      <c r="AO132" s="1"/>
      <c r="AP132" s="1"/>
      <c r="AQ132" s="1"/>
      <c r="AR132" s="1"/>
    </row>
    <row r="133" spans="41:44" x14ac:dyDescent="0.25">
      <c r="AO133" s="1" t="s">
        <v>148</v>
      </c>
      <c r="AP133" s="1"/>
      <c r="AQ133" s="1"/>
      <c r="AR133" s="1"/>
    </row>
    <row r="134" spans="41:44" x14ac:dyDescent="0.25">
      <c r="AO134" s="24" t="s">
        <v>129</v>
      </c>
      <c r="AP134" s="24"/>
      <c r="AQ134" s="24">
        <f>(AQ131-3.1526)/0.3797</f>
        <v>170.25915196207529</v>
      </c>
      <c r="AR134" s="24" t="s">
        <v>36</v>
      </c>
    </row>
    <row r="135" spans="41:44" x14ac:dyDescent="0.25">
      <c r="AP135" s="23" t="s">
        <v>130</v>
      </c>
      <c r="AQ135" t="s">
        <v>131</v>
      </c>
    </row>
    <row r="136" spans="41:44" x14ac:dyDescent="0.25">
      <c r="AP136" s="23" t="s">
        <v>133</v>
      </c>
      <c r="AQ136" t="s">
        <v>132</v>
      </c>
    </row>
    <row r="137" spans="41:44" x14ac:dyDescent="0.25">
      <c r="AP137" t="s">
        <v>150</v>
      </c>
    </row>
    <row r="138" spans="41:44" x14ac:dyDescent="0.25">
      <c r="AO138" t="s">
        <v>149</v>
      </c>
      <c r="AP138">
        <f>0.3797*140+3.1526</f>
        <v>56.310599999999994</v>
      </c>
    </row>
    <row r="140" spans="41:44" x14ac:dyDescent="0.25">
      <c r="AP140" s="24" t="s">
        <v>45</v>
      </c>
    </row>
    <row r="141" spans="41:44" x14ac:dyDescent="0.25">
      <c r="AP141" s="24">
        <v>46.6</v>
      </c>
    </row>
    <row r="142" spans="41:44" x14ac:dyDescent="0.25">
      <c r="AP142" s="24">
        <v>114</v>
      </c>
    </row>
    <row r="143" spans="41:44" x14ac:dyDescent="0.25">
      <c r="AP143" s="24">
        <v>140</v>
      </c>
    </row>
    <row r="144" spans="41:44" x14ac:dyDescent="0.25">
      <c r="AP144" s="24">
        <v>170</v>
      </c>
    </row>
    <row r="145" spans="42:42" x14ac:dyDescent="0.25">
      <c r="AP145" s="24">
        <v>250</v>
      </c>
    </row>
    <row r="146" spans="42:42" x14ac:dyDescent="0.25">
      <c r="AP146" s="24">
        <v>320</v>
      </c>
    </row>
    <row r="147" spans="42:42" x14ac:dyDescent="0.25">
      <c r="AP147" s="24">
        <v>385</v>
      </c>
    </row>
    <row r="148" spans="42:42" x14ac:dyDescent="0.25">
      <c r="AP148" s="24">
        <v>521</v>
      </c>
    </row>
  </sheetData>
  <mergeCells count="24">
    <mergeCell ref="S65:AA65"/>
    <mergeCell ref="S73:AA73"/>
    <mergeCell ref="AE73:AM73"/>
    <mergeCell ref="S49:AA49"/>
    <mergeCell ref="AE41:AM41"/>
    <mergeCell ref="AE49:AM49"/>
    <mergeCell ref="S57:AA57"/>
    <mergeCell ref="AE57:AM57"/>
    <mergeCell ref="AE65:AM65"/>
    <mergeCell ref="S41:AA41"/>
    <mergeCell ref="S33:AA33"/>
    <mergeCell ref="AE33:AM33"/>
    <mergeCell ref="B2:I2"/>
    <mergeCell ref="A1:I1"/>
    <mergeCell ref="A23:L23"/>
    <mergeCell ref="S2:AA2"/>
    <mergeCell ref="S11:AA11"/>
    <mergeCell ref="S18:AA18"/>
    <mergeCell ref="A21:J22"/>
    <mergeCell ref="S25:AA25"/>
    <mergeCell ref="AE2:AM2"/>
    <mergeCell ref="AE11:AM11"/>
    <mergeCell ref="AE18:AM18"/>
    <mergeCell ref="AE25:AM25"/>
  </mergeCells>
  <phoneticPr fontId="7" type="noConversion"/>
  <conditionalFormatting sqref="AE74:AL79">
    <cfRule type="cellIs" dxfId="1" priority="1" operator="lessThan">
      <formula>360</formula>
    </cfRule>
  </conditionalFormatting>
  <conditionalFormatting sqref="AE34:AM39">
    <cfRule type="cellIs" dxfId="0" priority="2" operator="lessThan">
      <formula>360</formula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Z 1 v m V k 5 9 J m K l A A A A 9 g A A A B I A H A B D b 2 5 m a W c v U G F j a 2 F n Z S 5 4 b W w g o h g A K K A U A A A A A A A A A A A A A A A A A A A A A A A A A A A A h Y 9 L D o I w G I S v Q r q n D y T G k J + y c C t q Y m L c 1 l q h E Y q h x X I 3 F x 7 J K 4 h R 1 J 3 L m f k m m b l f b 5 D 1 d R V c V G t 1 Y 1 L E M E W B M r I 5 a F O k q H P H c I Y y D m s h T 6 J Q w Q A b m / R W p 6 h 0 7 p w Q 4 r 3 H f o K b t i A R p Y z s 8 s V G l q o W o T b W C S M V + r Q O / 1 u I w / Y 1 h k e Y s S m O a Y w p k N G E X J s v E A 1 7 n + m P C f O u c l 2 r u N m H y x W Q U Q J 5 f + A P U E s D B B Q A A g A I A G d b 5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n W + Z W K I p H u A 4 A A A A R A A A A E w A c A E Z v c m 1 1 b G F z L 1 N l Y 3 R p b 2 4 x L m 0 g o h g A K K A U A A A A A A A A A A A A A A A A A A A A A A A A A A A A K 0 5 N L s n M z 1 M I h t C G 1 g B Q S w E C L Q A U A A I A C A B n W + Z W T n 0 m Y q U A A A D 2 A A A A E g A A A A A A A A A A A A A A A A A A A A A A Q 2 9 u Z m l n L 1 B h Y 2 t h Z 2 U u e G 1 s U E s B A i 0 A F A A C A A g A Z 1 v m V g / K 6 a u k A A A A 6 Q A A A B M A A A A A A A A A A A A A A A A A 8 Q A A A F t D b 2 5 0 Z W 5 0 X 1 R 5 c G V z X S 5 4 b W x Q S w E C L Q A U A A I A C A B n W + Z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Y c g a H Q 9 0 1 0 6 E Q p k + 4 H f X g g A A A A A C A A A A A A A D Z g A A w A A A A B A A A A C F m p f Y 4 1 9 i 8 T / T Q x i w x s l s A A A A A A S A A A C g A A A A E A A A A J Z W B z C b L f J S y 4 x Y W G A t z H l Q A A A A D + l w 6 I i 7 U U 6 N 3 K N u n 1 f r S j Q 1 E j t N Z F 9 n W q 9 P B A / X F z 3 3 j l t a s N U w d F I G c X W N 2 3 U L z v 3 M H u + v E N s C I / G s + K z l u l L 1 O q z f s n O a n 1 T f I E k 4 y i s U A A A A p t t / y j Y p s H X 8 N N G n g l 6 H F g 2 l 7 M w = < / D a t a M a s h u p > 
</file>

<file path=customXml/itemProps1.xml><?xml version="1.0" encoding="utf-8"?>
<ds:datastoreItem xmlns:ds="http://schemas.openxmlformats.org/officeDocument/2006/customXml" ds:itemID="{C37E7A38-4C7C-444C-B1DA-6B733F819A3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 vs eta - First estimation</vt:lpstr>
      <vt:lpstr>Torque - 2.5D 1mm height</vt:lpstr>
      <vt:lpstr>TUB DoE - Reversible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Henrique Accorsi Gans</dc:creator>
  <cp:lastModifiedBy>Luiz Henrique Accorsi Gans</cp:lastModifiedBy>
  <dcterms:created xsi:type="dcterms:W3CDTF">2023-06-24T07:50:46Z</dcterms:created>
  <dcterms:modified xsi:type="dcterms:W3CDTF">2024-03-10T20:46:36Z</dcterms:modified>
</cp:coreProperties>
</file>