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istitutoboella-my.sharepoint.com/personal/filippo_borgogno_linksfoundation_com/Documents/Desktop/Borgogno - Progetti Personali/0. FUTURE666/Scientific Paper/THESIS DATA &amp; CODE/Data Final/"/>
    </mc:Choice>
  </mc:AlternateContent>
  <xr:revisionPtr revIDLastSave="6" documentId="13_ncr:1_{E1F19011-39A1-4526-8FAE-29FF97AABD37}" xr6:coauthVersionLast="47" xr6:coauthVersionMax="47" xr10:uidLastSave="{EE557EE1-C476-48B8-9E6C-3BB85D015343}"/>
  <bookViews>
    <workbookView xWindow="-110" yWindow="-110" windowWidth="19420" windowHeight="10300" activeTab="3" xr2:uid="{00000000-000D-0000-FFFF-FFFF00000000}"/>
  </bookViews>
  <sheets>
    <sheet name="INFRACOSTLAND" sheetId="10" r:id="rId1"/>
    <sheet name="INFRACOSTSEA" sheetId="5" r:id="rId2"/>
    <sheet name="CostIndex" sheetId="7" r:id="rId3"/>
    <sheet name="MilEurPkm" sheetId="8" r:id="rId4"/>
  </sheets>
  <externalReferences>
    <externalReference r:id="rId5"/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7" l="1"/>
  <c r="M4" i="7"/>
  <c r="M2" i="7"/>
  <c r="L4" i="7" s="1"/>
  <c r="J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4" i="7"/>
  <c r="T37" i="8"/>
  <c r="U37" i="8"/>
  <c r="T9" i="8"/>
  <c r="U9" i="8"/>
  <c r="T10" i="8"/>
  <c r="U10" i="8"/>
  <c r="T11" i="8"/>
  <c r="U11" i="8"/>
  <c r="T12" i="8"/>
  <c r="U12" i="8"/>
  <c r="T13" i="8"/>
  <c r="U13" i="8"/>
  <c r="T14" i="8"/>
  <c r="U14" i="8"/>
  <c r="T15" i="8"/>
  <c r="U15" i="8"/>
  <c r="T16" i="8"/>
  <c r="U16" i="8"/>
  <c r="T17" i="8"/>
  <c r="U17" i="8"/>
  <c r="T18" i="8"/>
  <c r="U18" i="8"/>
  <c r="T19" i="8"/>
  <c r="U19" i="8"/>
  <c r="T20" i="8"/>
  <c r="U20" i="8"/>
  <c r="T21" i="8"/>
  <c r="U21" i="8"/>
  <c r="T22" i="8"/>
  <c r="U22" i="8"/>
  <c r="T23" i="8"/>
  <c r="U23" i="8"/>
  <c r="T24" i="8"/>
  <c r="U24" i="8"/>
  <c r="T25" i="8"/>
  <c r="U25" i="8"/>
  <c r="T26" i="8"/>
  <c r="U26" i="8"/>
  <c r="T27" i="8"/>
  <c r="U27" i="8"/>
  <c r="T28" i="8"/>
  <c r="U28" i="8"/>
  <c r="T29" i="8"/>
  <c r="U29" i="8"/>
  <c r="T30" i="8"/>
  <c r="U30" i="8"/>
  <c r="T31" i="8"/>
  <c r="U31" i="8"/>
  <c r="T32" i="8"/>
  <c r="U32" i="8"/>
  <c r="T33" i="8"/>
  <c r="U33" i="8"/>
  <c r="T34" i="8"/>
  <c r="U34" i="8"/>
  <c r="T35" i="8"/>
  <c r="U35" i="8"/>
  <c r="T36" i="8"/>
  <c r="U36" i="8"/>
  <c r="U8" i="8"/>
  <c r="T8" i="8"/>
  <c r="F22" i="5"/>
  <c r="J22" i="5" s="1"/>
  <c r="J2" i="5"/>
  <c r="I3" i="5"/>
  <c r="K3" i="5" s="1"/>
  <c r="I4" i="5"/>
  <c r="K4" i="5" s="1"/>
  <c r="I5" i="5"/>
  <c r="K5" i="5" s="1"/>
  <c r="I6" i="5"/>
  <c r="K6" i="5" s="1"/>
  <c r="I7" i="5"/>
  <c r="K7" i="5" s="1"/>
  <c r="I8" i="5"/>
  <c r="K8" i="5" s="1"/>
  <c r="I9" i="5"/>
  <c r="K9" i="5" s="1"/>
  <c r="I10" i="5"/>
  <c r="K10" i="5" s="1"/>
  <c r="I11" i="5"/>
  <c r="K11" i="5" s="1"/>
  <c r="I12" i="5"/>
  <c r="K12" i="5" s="1"/>
  <c r="I13" i="5"/>
  <c r="K13" i="5" s="1"/>
  <c r="I14" i="5"/>
  <c r="K14" i="5" s="1"/>
  <c r="I15" i="5"/>
  <c r="K15" i="5" s="1"/>
  <c r="I16" i="5"/>
  <c r="K16" i="5" s="1"/>
  <c r="I17" i="5"/>
  <c r="K17" i="5" s="1"/>
  <c r="I18" i="5"/>
  <c r="K18" i="5" s="1"/>
  <c r="I19" i="5"/>
  <c r="K19" i="5" s="1"/>
  <c r="I20" i="5"/>
  <c r="K20" i="5" s="1"/>
  <c r="I21" i="5"/>
  <c r="K21" i="5" s="1"/>
  <c r="I22" i="5"/>
  <c r="K22" i="5" s="1"/>
  <c r="I23" i="5"/>
  <c r="K23" i="5" s="1"/>
  <c r="I24" i="5"/>
  <c r="K24" i="5" s="1"/>
  <c r="I25" i="5"/>
  <c r="K25" i="5" s="1"/>
  <c r="I26" i="5"/>
  <c r="K26" i="5" s="1"/>
  <c r="I27" i="5"/>
  <c r="K27" i="5" s="1"/>
  <c r="I28" i="5"/>
  <c r="K28" i="5" s="1"/>
  <c r="I29" i="5"/>
  <c r="K29" i="5" s="1"/>
  <c r="I30" i="5"/>
  <c r="K30" i="5" s="1"/>
  <c r="I31" i="5"/>
  <c r="K31" i="5" s="1"/>
  <c r="I32" i="5"/>
  <c r="K32" i="5" s="1"/>
  <c r="I33" i="5"/>
  <c r="K33" i="5" s="1"/>
  <c r="I34" i="5"/>
  <c r="K34" i="5" s="1"/>
  <c r="I35" i="5"/>
  <c r="K35" i="5" s="1"/>
  <c r="I36" i="5"/>
  <c r="K36" i="5" s="1"/>
  <c r="I2" i="5"/>
  <c r="K2" i="5" s="1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4" i="7"/>
  <c r="B4" i="7"/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" i="5"/>
  <c r="B11" i="7"/>
  <c r="J3" i="5"/>
  <c r="J4" i="5"/>
  <c r="J5" i="5"/>
  <c r="J6" i="5"/>
  <c r="J7" i="5"/>
  <c r="J8" i="5"/>
  <c r="J9" i="5"/>
  <c r="J10" i="5"/>
  <c r="J11" i="5"/>
  <c r="J13" i="5"/>
  <c r="J14" i="5"/>
  <c r="J15" i="5"/>
  <c r="J16" i="5"/>
  <c r="J17" i="5"/>
  <c r="J18" i="5"/>
  <c r="J19" i="5"/>
  <c r="J20" i="5"/>
  <c r="J21" i="5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C3" i="7"/>
  <c r="G4" i="7" s="1"/>
  <c r="B30" i="7"/>
  <c r="B29" i="7"/>
  <c r="B28" i="7"/>
  <c r="B27" i="7"/>
  <c r="B26" i="7"/>
  <c r="B25" i="7"/>
  <c r="B24" i="7"/>
  <c r="B23" i="7"/>
  <c r="B22" i="7"/>
  <c r="B21" i="7"/>
  <c r="B20" i="7"/>
  <c r="B19" i="7"/>
  <c r="B17" i="7"/>
  <c r="B18" i="7"/>
  <c r="B16" i="7"/>
  <c r="B15" i="7"/>
  <c r="B14" i="7"/>
  <c r="B13" i="7"/>
  <c r="B12" i="7"/>
  <c r="B10" i="7"/>
  <c r="B9" i="7"/>
  <c r="B8" i="7"/>
  <c r="B7" i="7"/>
  <c r="B6" i="7"/>
  <c r="B5" i="7"/>
  <c r="B3" i="7"/>
  <c r="F31" i="7" s="1"/>
  <c r="F4" i="7" l="1"/>
  <c r="F6" i="7"/>
  <c r="F11" i="7"/>
  <c r="F17" i="7"/>
  <c r="F12" i="7"/>
  <c r="G11" i="7"/>
  <c r="G9" i="7"/>
  <c r="G25" i="7"/>
  <c r="G27" i="7"/>
  <c r="G13" i="7"/>
  <c r="G26" i="7"/>
  <c r="G15" i="7"/>
  <c r="G14" i="7"/>
  <c r="G21" i="7"/>
  <c r="G10" i="7"/>
  <c r="G22" i="7"/>
  <c r="F5" i="7"/>
  <c r="F30" i="7"/>
  <c r="G12" i="7"/>
  <c r="G24" i="7"/>
  <c r="G16" i="7"/>
  <c r="G8" i="7"/>
  <c r="G20" i="7"/>
  <c r="F18" i="7"/>
  <c r="G23" i="7"/>
  <c r="F7" i="7"/>
  <c r="F23" i="7"/>
  <c r="G17" i="7"/>
  <c r="G28" i="7"/>
  <c r="G5" i="7"/>
  <c r="G29" i="7"/>
  <c r="F24" i="7"/>
  <c r="G6" i="7"/>
  <c r="G18" i="7"/>
  <c r="G30" i="7"/>
  <c r="F13" i="7"/>
  <c r="F25" i="7"/>
  <c r="G7" i="7"/>
  <c r="G19" i="7"/>
  <c r="G31" i="7"/>
  <c r="F14" i="7"/>
  <c r="F26" i="7"/>
  <c r="F29" i="7"/>
  <c r="F19" i="7"/>
  <c r="F16" i="7"/>
  <c r="F28" i="7"/>
  <c r="F8" i="7"/>
  <c r="F20" i="7"/>
  <c r="F9" i="7"/>
  <c r="F21" i="7"/>
  <c r="F10" i="7"/>
  <c r="F22" i="7"/>
  <c r="F15" i="7"/>
  <c r="F27" i="7"/>
  <c r="E3" i="7"/>
  <c r="I17" i="7" s="1"/>
  <c r="K17" i="7" s="1"/>
  <c r="I12" i="7" l="1"/>
  <c r="K12" i="7" s="1"/>
  <c r="J18" i="7"/>
  <c r="J23" i="7"/>
  <c r="J21" i="7"/>
  <c r="J16" i="7"/>
  <c r="I16" i="7"/>
  <c r="K16" i="7" s="1"/>
  <c r="J19" i="7"/>
  <c r="J9" i="7"/>
  <c r="J10" i="7"/>
  <c r="J17" i="7"/>
  <c r="I10" i="7"/>
  <c r="K10" i="7" s="1"/>
  <c r="I29" i="7"/>
  <c r="K29" i="7" s="1"/>
  <c r="I23" i="7"/>
  <c r="K23" i="7" s="1"/>
  <c r="I4" i="7"/>
  <c r="I27" i="7"/>
  <c r="K27" i="7" s="1"/>
  <c r="I5" i="7"/>
  <c r="K5" i="7" s="1"/>
  <c r="I28" i="7"/>
  <c r="K28" i="7" s="1"/>
  <c r="I6" i="7"/>
  <c r="I26" i="7"/>
  <c r="K26" i="7" s="1"/>
  <c r="I18" i="7"/>
  <c r="K18" i="7" s="1"/>
  <c r="I25" i="7"/>
  <c r="K25" i="7" s="1"/>
  <c r="I19" i="7"/>
  <c r="K19" i="7" s="1"/>
  <c r="I22" i="7"/>
  <c r="K22" i="7" s="1"/>
  <c r="I7" i="7"/>
  <c r="K7" i="7" s="1"/>
  <c r="I31" i="7"/>
  <c r="I9" i="7"/>
  <c r="K9" i="7" s="1"/>
  <c r="I21" i="7"/>
  <c r="K21" i="7" s="1"/>
  <c r="I14" i="7"/>
  <c r="K14" i="7" s="1"/>
  <c r="I13" i="7"/>
  <c r="K13" i="7" s="1"/>
  <c r="I20" i="7"/>
  <c r="K20" i="7" s="1"/>
  <c r="I11" i="7"/>
  <c r="K11" i="7" s="1"/>
  <c r="I24" i="7"/>
  <c r="K24" i="7" s="1"/>
  <c r="I8" i="7"/>
  <c r="K8" i="7" s="1"/>
  <c r="I30" i="7"/>
  <c r="K30" i="7" s="1"/>
  <c r="I15" i="7"/>
  <c r="K15" i="7" s="1"/>
  <c r="J6" i="7" l="1"/>
  <c r="K6" i="7"/>
  <c r="B4" i="10" s="1"/>
  <c r="J31" i="7"/>
  <c r="K31" i="7"/>
  <c r="B2" i="10"/>
  <c r="C2" i="10"/>
  <c r="B5" i="10"/>
  <c r="C5" i="10"/>
  <c r="B7" i="10"/>
  <c r="C7" i="10"/>
  <c r="C9" i="10"/>
  <c r="B9" i="10"/>
  <c r="B19" i="10"/>
  <c r="C19" i="10"/>
  <c r="C17" i="10"/>
  <c r="B17" i="10"/>
  <c r="B24" i="10"/>
  <c r="C24" i="10"/>
  <c r="C11" i="10"/>
  <c r="B11" i="10"/>
  <c r="C18" i="10"/>
  <c r="B18" i="10"/>
  <c r="J12" i="7"/>
  <c r="C14" i="10"/>
  <c r="B14" i="10"/>
  <c r="B26" i="10"/>
  <c r="C26" i="10"/>
  <c r="B25" i="10"/>
  <c r="C25" i="10"/>
  <c r="J30" i="7"/>
  <c r="C15" i="10"/>
  <c r="B15" i="10"/>
  <c r="J28" i="7"/>
  <c r="J20" i="7"/>
  <c r="J24" i="7"/>
  <c r="J22" i="7"/>
  <c r="J14" i="7"/>
  <c r="J15" i="7"/>
  <c r="B22" i="10"/>
  <c r="C22" i="10"/>
  <c r="J13" i="7"/>
  <c r="J27" i="7"/>
  <c r="M3" i="7"/>
  <c r="M17" i="7"/>
  <c r="L17" i="7" s="1"/>
  <c r="J29" i="7"/>
  <c r="J25" i="7"/>
  <c r="J7" i="7"/>
  <c r="J11" i="7"/>
  <c r="J5" i="7"/>
  <c r="J26" i="7"/>
  <c r="J8" i="7"/>
  <c r="C4" i="10" l="1"/>
  <c r="M25" i="7"/>
  <c r="L25" i="7" s="1"/>
  <c r="M5" i="7"/>
  <c r="L5" i="7" s="1"/>
  <c r="M18" i="7"/>
  <c r="L18" i="7" s="1"/>
  <c r="M27" i="7"/>
  <c r="L27" i="7" s="1"/>
  <c r="C29" i="10"/>
  <c r="B29" i="10"/>
  <c r="M15" i="7"/>
  <c r="L15" i="7" s="1"/>
  <c r="B21" i="10"/>
  <c r="C21" i="10"/>
  <c r="C27" i="10"/>
  <c r="B27" i="10"/>
  <c r="M31" i="7"/>
  <c r="L31" i="7" s="1"/>
  <c r="B10" i="10"/>
  <c r="C10" i="10"/>
  <c r="M22" i="7"/>
  <c r="L22" i="7" s="1"/>
  <c r="B13" i="10"/>
  <c r="C13" i="10"/>
  <c r="C12" i="10"/>
  <c r="B12" i="10"/>
  <c r="B3" i="10"/>
  <c r="C3" i="10"/>
  <c r="M28" i="7"/>
  <c r="L28" i="7" s="1"/>
  <c r="M14" i="7"/>
  <c r="L14" i="7" s="1"/>
  <c r="M12" i="7"/>
  <c r="L12" i="7" s="1"/>
  <c r="M20" i="7"/>
  <c r="L20" i="7" s="1"/>
  <c r="M30" i="7"/>
  <c r="L30" i="7" s="1"/>
  <c r="B6" i="10"/>
  <c r="C6" i="10"/>
  <c r="M13" i="7"/>
  <c r="L13" i="7" s="1"/>
  <c r="M8" i="7"/>
  <c r="L8" i="7" s="1"/>
  <c r="M10" i="7"/>
  <c r="L10" i="7" s="1"/>
  <c r="B20" i="10"/>
  <c r="C20" i="10"/>
  <c r="M21" i="7"/>
  <c r="L21" i="7" s="1"/>
  <c r="M9" i="7"/>
  <c r="L9" i="7" s="1"/>
  <c r="M24" i="7"/>
  <c r="L24" i="7" s="1"/>
  <c r="B8" i="10"/>
  <c r="C8" i="10"/>
  <c r="M16" i="7"/>
  <c r="L16" i="7" s="1"/>
  <c r="M6" i="7"/>
  <c r="L6" i="7" s="1"/>
  <c r="M26" i="7"/>
  <c r="L26" i="7" s="1"/>
  <c r="M11" i="7"/>
  <c r="L11" i="7" s="1"/>
  <c r="M19" i="7"/>
  <c r="L19" i="7" s="1"/>
  <c r="M7" i="7"/>
  <c r="L7" i="7" s="1"/>
  <c r="M29" i="7"/>
  <c r="L29" i="7" s="1"/>
  <c r="C28" i="10"/>
  <c r="B28" i="10"/>
  <c r="C16" i="10"/>
  <c r="B16" i="10"/>
  <c r="M23" i="7"/>
  <c r="L23" i="7" s="1"/>
  <c r="C23" i="10"/>
  <c r="B2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tc={1FF6237F-2546-4BD7-9D6B-76A8C8FD81B0}</author>
    <author>tc={BB873A7F-75F2-41B9-935C-39AF3A21E652}</author>
  </authors>
  <commentList>
    <comment ref="A1" authorId="0" shapeId="0" xr:uid="{1FF6237F-2546-4BD7-9D6B-76A8C8FD81B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Costs are a bit lower than the existing infrastructure for the country with already exisisting HSR infra. Could be attributed to budgetoverruns. </t>
      </text>
    </comment>
    <comment ref="B19" authorId="1" shapeId="0" xr:uid="{BB873A7F-75F2-41B9-935C-39AF3A21E652}">
      <text>
        <t>[Threaded comment]
Your version of Excel allows you to read this threaded comment; however, any edits to it will get removed if the file is opened in a newer version of Excel. Learn more: https://go.microsoft.com/fwlink/?linkid=870924
Comment:
    Predicted cost for HSLZuid: 54.96 mill/km (NETHERLANDS HSL ZUID (ucl.ac.uk) 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tc={294EC393-6C0D-460C-B0FA-585B60D0718D}</author>
    <author>tc={B3E6E169-8017-402B-8F5D-72E93B334CA9}</author>
    <author>tc={A48DC626-F7E6-41AD-A908-BCEC41D10F42}</author>
    <author>tc={35AD4491-E829-456E-881A-BD80544DD393}</author>
    <author>tc={3C36A39C-927B-4509-A548-664FCC663116}</author>
    <author>tc={1B3C012D-3D29-4D21-A584-C5F85BE10123}</author>
    <author>tc={BA00C162-6BEB-423C-9F80-9BB1887CF179}</author>
    <author>tc={7F45D569-C345-4406-907A-531348354198}</author>
    <author>tc={FF546B66-DE95-4857-BF60-DE0EFB8B86AB}</author>
    <author>tc={63BB9264-FFA1-4D27-BD94-1A4CB4067282}</author>
    <author>tc={2F758CD8-7B39-4A29-B337-6274B0641328}</author>
    <author>tc={E74BAFEB-D3FE-41DB-B816-365E7CBDEC8C}</author>
    <author>tc={AE40256B-B169-467F-B1F5-231DAD186247}</author>
    <author>tc={0F5D6B9D-5E90-455E-9F66-7821263FF9F9}</author>
    <author>tc={E1802737-8DF4-4818-AE9E-B35765F8E4C9}</author>
    <author>tc={011B0733-0C99-4C15-8332-3C41F5EF715C}</author>
    <author>tc={72028A43-4217-46E2-818D-B8763892AD6D}</author>
  </authors>
  <commentList>
    <comment ref="I1" authorId="0" shapeId="0" xr:uid="{294EC393-6C0D-460C-B0FA-585B60D0718D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lenght of the edges reproducing the infrastructure</t>
      </text>
    </comment>
    <comment ref="K1" authorId="1" shapeId="0" xr:uid="{B3E6E169-8017-402B-8F5D-72E93B334CA9}">
      <text>
        <t>[Threaded comment]
Your version of Excel allows you to read this threaded comment; however, any edits to it will get removed if the file is opened in a newer version of Excel. Learn more: https://go.microsoft.com/fwlink/?linkid=870924
Comment:
    Cost to assign to each hexagon given the real lenght of the infrastructure with the new edges considered</t>
      </text>
    </comment>
    <comment ref="F2" authorId="2" shapeId="0" xr:uid="{A48DC626-F7E6-41AD-A908-BCEC41D10F4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Scheda - SILOS (infrastrutturestrategiche.it) 
Updated for 2023
</t>
      </text>
    </comment>
    <comment ref="F3" authorId="3" shapeId="0" xr:uid="{35AD4491-E829-456E-881A-BD80544DD39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Channel Tunnel (gihub.org) Updated to current 1994-2020
</t>
      </text>
    </comment>
    <comment ref="F10" authorId="4" shapeId="0" xr:uid="{3C36A39C-927B-4509-A548-664FCC66311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Facts Worth Knowing about the Øresund Bridge.pdf (oresundsbron.com) 
Update to current prices 2020
</t>
      </text>
    </comment>
    <comment ref="F11" authorId="5" shapeId="0" xr:uid="{1B3C012D-3D29-4D21-A584-C5F85BE1012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Facts Worth Knowing about the Øresund Bridge.pdf (oresundsbron.com) 
Update to current prices 2020
</t>
      </text>
    </comment>
    <comment ref="F13" authorId="6" shapeId="0" xr:uid="{BA00C162-6BEB-423C-9F80-9BB1887CF1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Finance (femern.com) </t>
      </text>
    </comment>
    <comment ref="F14" authorId="7" shapeId="0" xr:uid="{7F45D569-C345-4406-907A-53134835419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Finance (femern.com) </t>
      </text>
    </comment>
    <comment ref="F15" authorId="8" shapeId="0" xr:uid="{FF546B66-DE95-4857-BF60-DE0EFB8B86A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Finance (femern.com) </t>
      </text>
    </comment>
    <comment ref="F16" authorId="9" shapeId="0" xr:uid="{63BB9264-FFA1-4D27-BD94-1A4CB406728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Finance (femern.com) </t>
      </text>
    </comment>
    <comment ref="F17" authorId="10" shapeId="0" xr:uid="{2F758CD8-7B39-4A29-B337-6274B0641328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New Little Belt bridge (visitmiddelfart.com) 
Adjusted to current prices 1970-2020</t>
      </text>
    </comment>
    <comment ref="F18" authorId="11" shapeId="0" xr:uid="{E74BAFEB-D3FE-41DB-B816-365E7CBDEC8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construction costs for the Storebælt link (sundogbaelt.dk) </t>
      </text>
    </comment>
    <comment ref="F19" authorId="12" shapeId="0" xr:uid="{AE40256B-B169-467F-B1F5-231DAD18624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construction costs for the Storebælt link (sundogbaelt.dk) </t>
      </text>
    </comment>
    <comment ref="F20" authorId="13" shapeId="0" xr:uid="{0F5D6B9D-5E90-455E-9F66-7821263FF9F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construction costs for the Storebælt link (sundogbaelt.dk) </t>
      </text>
    </comment>
    <comment ref="F21" authorId="14" shapeId="0" xr:uid="{E1802737-8DF4-4818-AE9E-B35765F8E4C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construction costs for the Storebælt link (sundogbaelt.dk) </t>
      </text>
    </comment>
    <comment ref="F22" authorId="15" shapeId="0" xr:uid="{011B0733-0C99-4C15-8332-3C41F5EF715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Two times little belt give distance
 </t>
      </text>
    </comment>
    <comment ref="F23" authorId="16" shapeId="0" xr:uid="{72028A43-4217-46E2-818D-B8763892AD6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Helsinki-Tallinn Railway Tunnel, Gulf of Finland - Railway Technology (railway-technology.com) 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tc={53F205A7-F03D-4AA6-8AAC-C2A7DD1E5405}</author>
    <author>tc={97AA6CB5-1BDC-4709-A27D-021031BFCC0F}</author>
    <author>tc={9D98AB6A-7EA7-45F0-8A9B-6F0AC9B1B3EB}</author>
    <author>tc={D56DF4FD-81CA-4351-BC82-EFEDE05C118F}</author>
    <author>tc={C438451D-55BE-4034-8F12-A36F711EA583}</author>
    <author>tc={CEF963E7-A87B-4226-B1C7-0D1EF0E28642}</author>
    <author>tc={CC081764-1614-4433-A60F-114D1C92B7C5}</author>
    <author>tc={C22D6536-1BFB-469A-B28B-084255E1D789}</author>
    <author>tc={8F76AE41-6FEE-4AA6-9254-291867D4EC2E}</author>
  </authors>
  <commentList>
    <comment ref="I9" authorId="0" shapeId="0" xr:uid="{53F205A7-F03D-4AA6-8AAC-C2A7DD1E5405}">
      <text>
        <t>[Threaded comment]
Your version of Excel allows you to read this threaded comment; however, any edits to it will get removed if the file is opened in a newer version of Excel. Learn more: https://go.microsoft.com/fwlink/?linkid=870924
Comment:
    Media senza montagne</t>
      </text>
    </comment>
    <comment ref="J9" authorId="1" shapeId="0" xr:uid="{97AA6CB5-1BDC-4709-A27D-021031BFCC0F}">
      <text>
        <t>[Threaded comment]
Your version of Excel allows you to read this threaded comment; however, any edits to it will get removed if the file is opened in a newer version of Excel. Learn more: https://go.microsoft.com/fwlink/?linkid=870924
Comment:
    Media senza montagne</t>
      </text>
    </comment>
    <comment ref="I10" authorId="2" shapeId="0" xr:uid="{9D98AB6A-7EA7-45F0-8A9B-6F0AC9B1B3EB}">
      <text>
        <t>[Threaded comment]
Your version of Excel allows you to read this threaded comment; however, any edits to it will get removed if the file is opened in a newer version of Excel. Learn more: https://go.microsoft.com/fwlink/?linkid=870924
Comment:
    Media senza montagne</t>
      </text>
    </comment>
    <comment ref="J10" authorId="3" shapeId="0" xr:uid="{D56DF4FD-81CA-4351-BC82-EFEDE05C118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Media senza montagne
</t>
      </text>
    </comment>
    <comment ref="J16" authorId="4" shapeId="0" xr:uid="{C438451D-55BE-4034-8F12-A36F711EA58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Media senza montagne
</t>
      </text>
    </comment>
    <comment ref="J18" authorId="5" shapeId="0" xr:uid="{CEF963E7-A87B-4226-B1C7-0D1EF0E2864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Media senza montagne
</t>
      </text>
    </comment>
    <comment ref="J19" authorId="6" shapeId="0" xr:uid="{CC081764-1614-4433-A60F-114D1C92B7C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Media senza montagne
</t>
      </text>
    </comment>
    <comment ref="J21" authorId="7" shapeId="0" xr:uid="{C22D6536-1BFB-469A-B28B-084255E1D78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Media senza montagne
</t>
      </text>
    </comment>
    <comment ref="B31" authorId="8" shapeId="0" xr:uid="{8F76AE41-6FEE-4AA6-9254-291867D4EC2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U.K. Population (2023) - Worldometer (worldometers.info) 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tc={2BE7D6E9-E38F-4A1A-AC90-EBF8124B017F}</author>
    <author>tc={E7F26C6C-89C5-40C4-9D0E-04A667793C02}</author>
    <author>tc={3B80F72C-14D2-4E47-969E-1FD51C99EFB9}</author>
  </authors>
  <commentList>
    <comment ref="E2" authorId="0" shapeId="0" xr:uid="{2BE7D6E9-E38F-4A1A-AC90-EBF8124B017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Assuming that the highset value of the range is the most expensive tunnel infrastructure
</t>
      </text>
    </comment>
    <comment ref="B4" authorId="1" shapeId="0" xr:uid="{E7F26C6C-89C5-40C4-9D0E-04A667793C0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European high-speed rail network: not a reality but an ineffective patchwork (europa.eu) </t>
      </text>
    </comment>
    <comment ref="B5" authorId="2" shapeId="0" xr:uid="{3B80F72C-14D2-4E47-969E-1FD51C99EFB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2017852_E_web_light+c1.pdf (unece.org) </t>
      </text>
    </comment>
  </commentList>
</comments>
</file>

<file path=xl/sharedStrings.xml><?xml version="1.0" encoding="utf-8"?>
<sst xmlns="http://schemas.openxmlformats.org/spreadsheetml/2006/main" count="238" uniqueCount="116">
  <si>
    <t>Country</t>
  </si>
  <si>
    <t>Surface</t>
  </si>
  <si>
    <t>Underground</t>
  </si>
  <si>
    <t>France</t>
  </si>
  <si>
    <t>Spain</t>
  </si>
  <si>
    <t>Germany</t>
  </si>
  <si>
    <t>Italy</t>
  </si>
  <si>
    <t>Poland</t>
  </si>
  <si>
    <t>United Kingdom</t>
  </si>
  <si>
    <t>Romania</t>
  </si>
  <si>
    <t>Sweden</t>
  </si>
  <si>
    <t>Netherlands</t>
  </si>
  <si>
    <t>Bulgaria</t>
  </si>
  <si>
    <t>Hungary</t>
  </si>
  <si>
    <t>Greece</t>
  </si>
  <si>
    <t>Finland</t>
  </si>
  <si>
    <t>Czech Republic</t>
  </si>
  <si>
    <t>Portugal</t>
  </si>
  <si>
    <t>Norway</t>
  </si>
  <si>
    <t>Belgium</t>
  </si>
  <si>
    <t>Austria</t>
  </si>
  <si>
    <t>Croatia</t>
  </si>
  <si>
    <t>Ireland</t>
  </si>
  <si>
    <t>Switzerland</t>
  </si>
  <si>
    <t>Latvia</t>
  </si>
  <si>
    <t>Slovakia</t>
  </si>
  <si>
    <t>Denmark</t>
  </si>
  <si>
    <t>Lithuania</t>
  </si>
  <si>
    <t>Estonia</t>
  </si>
  <si>
    <t>Slovenia</t>
  </si>
  <si>
    <t>Luxembourg</t>
  </si>
  <si>
    <t>Year</t>
  </si>
  <si>
    <t>HexId</t>
  </si>
  <si>
    <t>Elevation</t>
  </si>
  <si>
    <t>863f26cd7ffffff</t>
  </si>
  <si>
    <t>86194815fffffff</t>
  </si>
  <si>
    <t>86194802fffffff</t>
  </si>
  <si>
    <t>861948007ffffff</t>
  </si>
  <si>
    <t>861948017ffffff</t>
  </si>
  <si>
    <t>8619480a7ffffff</t>
  </si>
  <si>
    <t>86194819fffffff</t>
  </si>
  <si>
    <t>86194856fffffff</t>
  </si>
  <si>
    <t>861f058e7ffffff</t>
  </si>
  <si>
    <t>861f058efffffff</t>
  </si>
  <si>
    <t>861f00d57ffffff</t>
  </si>
  <si>
    <t>861f00c27ffffff</t>
  </si>
  <si>
    <t>861f00c37ffffff</t>
  </si>
  <si>
    <t>861f224cfffffff</t>
  </si>
  <si>
    <t>861f04107ffffff</t>
  </si>
  <si>
    <t>861f0410fffffff</t>
  </si>
  <si>
    <t>861f04177ffffff</t>
  </si>
  <si>
    <t>861f04147ffffff</t>
  </si>
  <si>
    <t>Project</t>
  </si>
  <si>
    <t>Stretto di Messina Bridge</t>
  </si>
  <si>
    <t>Channel Tunnel</t>
  </si>
  <si>
    <t>Oresund Bridge</t>
  </si>
  <si>
    <t>Femahrn Tunnel</t>
  </si>
  <si>
    <t>New Little Belt Bridge</t>
  </si>
  <si>
    <t>Lenght</t>
  </si>
  <si>
    <t>Costpkm</t>
  </si>
  <si>
    <t>PLI</t>
  </si>
  <si>
    <t>Population density</t>
  </si>
  <si>
    <t>Europe</t>
  </si>
  <si>
    <t>Mountainous terrain</t>
  </si>
  <si>
    <t>Density Index</t>
  </si>
  <si>
    <t>PLI Index</t>
  </si>
  <si>
    <t>Mountain Index</t>
  </si>
  <si>
    <t>COST INDEX</t>
  </si>
  <si>
    <t>Nr. Edges</t>
  </si>
  <si>
    <t>InfraCost</t>
  </si>
  <si>
    <t>EU Court of Auditors</t>
  </si>
  <si>
    <t xml:space="preserve">Source </t>
  </si>
  <si>
    <t>UNECE Trans European Railway high-speed</t>
  </si>
  <si>
    <t>McKinsey Safe, smart, and green: Boosting European passenger rail’s modal share</t>
  </si>
  <si>
    <t>Can be 45 to 114 million (Population and tunnel construction</t>
  </si>
  <si>
    <t>Most reliable</t>
  </si>
  <si>
    <t>861f05bb7ffffff</t>
  </si>
  <si>
    <t>861f0634fffffff</t>
  </si>
  <si>
    <t>861f00967ffffff</t>
  </si>
  <si>
    <t>Storstrom strait</t>
  </si>
  <si>
    <t>Avg. Cost pkm</t>
  </si>
  <si>
    <t>Inprecise tunnel estimations</t>
  </si>
  <si>
    <t>Adjust at European level. Index = 1.1 wealthy countries</t>
  </si>
  <si>
    <t xml:space="preserve">For wealthy countries(Adjusted 2019) </t>
  </si>
  <si>
    <t>HexIdElv</t>
  </si>
  <si>
    <t>2017852_E_web_light+c1.pdf (unece.org)</t>
  </si>
  <si>
    <t>page 258</t>
  </si>
  <si>
    <t>Gulf of Finalnd</t>
  </si>
  <si>
    <t>86089b1afffffff</t>
  </si>
  <si>
    <t>86089b11fffffff</t>
  </si>
  <si>
    <t>86089b10fffffff</t>
  </si>
  <si>
    <t>86089b177ffffff</t>
  </si>
  <si>
    <t>86089b167ffffff</t>
  </si>
  <si>
    <t>86089bb97ffffff</t>
  </si>
  <si>
    <t>86089bb87ffffff</t>
  </si>
  <si>
    <t>86089bbafffffff</t>
  </si>
  <si>
    <t>86089bb1fffffff</t>
  </si>
  <si>
    <t>86089ba27ffffff</t>
  </si>
  <si>
    <t>86089ba2fffffff</t>
  </si>
  <si>
    <t>86089ba77ffffff</t>
  </si>
  <si>
    <t>86089ba47ffffff</t>
  </si>
  <si>
    <t>86089ba4fffffff</t>
  </si>
  <si>
    <t>RealLenght</t>
  </si>
  <si>
    <t>RealCostpkm</t>
  </si>
  <si>
    <t>Great Belt Bridge</t>
  </si>
  <si>
    <t>Table values for graphical representation</t>
  </si>
  <si>
    <t>X - Tunnel&amp;Bridges</t>
  </si>
  <si>
    <t>Y - Cosnturction cost pkm 2017</t>
  </si>
  <si>
    <t>South Korea</t>
  </si>
  <si>
    <t>Taiwan</t>
  </si>
  <si>
    <t>Japan</t>
  </si>
  <si>
    <t>GDP</t>
  </si>
  <si>
    <t>GDP Index</t>
  </si>
  <si>
    <t>Norm. Mountain index</t>
  </si>
  <si>
    <t>Infracost 1</t>
  </si>
  <si>
    <t>Infracost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</si>
</sst>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9"/>
      <name val="Arial"/>
      <family val="2"/>
    </font>
    <font>
      <sz val="8"/>
      <color rgb="FF2C303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0B0B0"/>
      </left>
      <right/>
      <top/>
      <bottom style="thin">
        <color rgb="FFB0B0B0"/>
      </bottom>
      <diagonal/>
    </border>
    <border>
      <left style="thin">
        <color rgb="FFB0B0B0"/>
      </left>
      <right/>
      <top style="thin">
        <color rgb="FFB0B0B0"/>
      </top>
      <bottom style="thin">
        <color rgb="FFB0B0B0"/>
      </bottom>
      <diagonal/>
    </border>
    <border>
      <left style="thin">
        <color rgb="FFB0B0B0"/>
      </left>
      <right/>
      <top style="thin">
        <color rgb="FFB0B0B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0" applyNumberFormat="1"/>
    <xf numFmtId="0" fontId="3" fillId="0" borderId="0" xfId="1"/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0" xfId="0" applyNumberFormat="1"/>
    <xf numFmtId="0" fontId="5" fillId="0" borderId="14" xfId="0" applyFont="1" applyBorder="1" applyAlignment="1">
      <alignment horizontal="center" vertical="top"/>
    </xf>
    <xf numFmtId="0" fontId="0" fillId="0" borderId="20" xfId="0" applyBorder="1"/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0" fontId="0" fillId="0" borderId="2" xfId="0" applyBorder="1" applyAlignment="1">
      <alignment wrapText="1"/>
    </xf>
    <xf numFmtId="0" fontId="0" fillId="3" borderId="5" xfId="0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2" xfId="0" applyFill="1" applyBorder="1"/>
    <xf numFmtId="0" fontId="0" fillId="3" borderId="3" xfId="0" applyFill="1" applyBorder="1"/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1" fontId="0" fillId="0" borderId="2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0" xfId="0" applyNumberFormat="1"/>
    <xf numFmtId="0" fontId="7" fillId="0" borderId="0" xfId="0" applyFont="1"/>
    <xf numFmtId="2" fontId="0" fillId="0" borderId="0" xfId="0" applyNumberFormat="1"/>
    <xf numFmtId="165" fontId="0" fillId="0" borderId="0" xfId="0" applyNumberFormat="1"/>
    <xf numFmtId="2" fontId="0" fillId="0" borderId="1" xfId="0" applyNumberFormat="1" applyBorder="1"/>
    <xf numFmtId="2" fontId="0" fillId="0" borderId="7" xfId="0" applyNumberFormat="1" applyBorder="1"/>
    <xf numFmtId="2" fontId="0" fillId="0" borderId="9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165" fontId="0" fillId="0" borderId="6" xfId="0" applyNumberFormat="1" applyBorder="1"/>
    <xf numFmtId="165" fontId="0" fillId="0" borderId="1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2" fontId="0" fillId="0" borderId="8" xfId="0" applyNumberFormat="1" applyBorder="1"/>
    <xf numFmtId="2" fontId="0" fillId="0" borderId="10" xfId="0" applyNumberFormat="1" applyBorder="1"/>
    <xf numFmtId="2" fontId="0" fillId="0" borderId="20" xfId="0" applyNumberFormat="1" applyBorder="1"/>
    <xf numFmtId="2" fontId="0" fillId="0" borderId="19" xfId="0" applyNumberFormat="1" applyBorder="1"/>
    <xf numFmtId="2" fontId="0" fillId="0" borderId="13" xfId="0" applyNumberFormat="1" applyBorder="1"/>
    <xf numFmtId="2" fontId="0" fillId="0" borderId="6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1" fontId="0" fillId="0" borderId="1" xfId="0" applyNumberFormat="1" applyBorder="1"/>
    <xf numFmtId="0" fontId="2" fillId="0" borderId="1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165" fontId="2" fillId="0" borderId="0" xfId="0" applyNumberFormat="1" applyFont="1" applyAlignment="1">
      <alignment horizontal="center" wrapText="1"/>
    </xf>
    <xf numFmtId="1" fontId="0" fillId="0" borderId="26" xfId="0" applyNumberFormat="1" applyBorder="1"/>
    <xf numFmtId="1" fontId="0" fillId="0" borderId="27" xfId="0" applyNumberFormat="1" applyBorder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521298</xdr:colOff>
      <xdr:row>7</xdr:row>
      <xdr:rowOff>102198</xdr:rowOff>
    </xdr:from>
    <xdr:to>
      <xdr:col>15</xdr:col>
      <xdr:colOff>191822</xdr:colOff>
      <xdr:row>26</xdr:row>
      <xdr:rowOff>172240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11E02D8-A1D6-271C-60C4-C25DD220F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1157" y="1545516"/>
          <a:ext cx="5766524" cy="34945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lippo.DESKTOP-9LGI1JO\Desktop\0.%20THESIS%20DATA\Urban%20Areas\Population%20Density.xlsx" TargetMode="External"/><Relationship Id="rId1" Type="http://schemas.openxmlformats.org/officeDocument/2006/relationships/externalLinkPath" Target="file:///C:\Users\Filippo.DESKTOP-9LGI1JO\Desktop\0.%20THESIS%20DATA\Urban%20Areas\Population%20Densit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lippo.DESKTOP-9LGI1JO\Desktop\0.%20THESIS%20DATA\Economy\PPP.xlsx" TargetMode="External"/><Relationship Id="rId1" Type="http://schemas.openxmlformats.org/officeDocument/2006/relationships/externalLinkPath" Target="file:///C:\Users\Filippo.DESKTOP-9LGI1JO\Desktop\0.%20THESIS%20DATA\Economy\PPP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lippo.DESKTOP-9LGI1JO\Desktop\0.%20THESIS%20DATA\Infra\Mountain%20coverage.xls" TargetMode="External"/><Relationship Id="rId1" Type="http://schemas.openxmlformats.org/officeDocument/2006/relationships/externalLinkPath" Target="Mountain%20coverage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lippo.DESKTOP-9LGI1JO\Desktop\0.%20THESIS%20DATA\Economy\Price%20Level%20Index%20-%20Eurostat.xlsx" TargetMode="External"/><Relationship Id="rId1" Type="http://schemas.openxmlformats.org/officeDocument/2006/relationships/externalLinkPath" Target="file:///C:\Users\Filippo.DESKTOP-9LGI1JO\Desktop\0.%20THESIS%20DATA\Economy\Price%20Level%20Index%20-%20Eurost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Structure"/>
      <sheetName val="Sheet 1"/>
    </sheetNames>
    <sheetDataSet>
      <sheetData sheetId="0" refreshError="1"/>
      <sheetData sheetId="1" refreshError="1"/>
      <sheetData sheetId="2" refreshError="1">
        <row r="10">
          <cell r="B10">
            <v>109</v>
          </cell>
        </row>
        <row r="11">
          <cell r="B11">
            <v>107.6</v>
          </cell>
        </row>
        <row r="12">
          <cell r="B12">
            <v>377.3</v>
          </cell>
        </row>
        <row r="13">
          <cell r="B13">
            <v>63.4</v>
          </cell>
        </row>
        <row r="14">
          <cell r="B14">
            <v>72.8</v>
          </cell>
        </row>
        <row r="15">
          <cell r="B15">
            <v>138.19999999999999</v>
          </cell>
        </row>
        <row r="16">
          <cell r="B16">
            <v>138.5</v>
          </cell>
        </row>
        <row r="17">
          <cell r="B17">
            <v>30.5</v>
          </cell>
        </row>
        <row r="18">
          <cell r="B18">
            <v>18.2</v>
          </cell>
        </row>
        <row r="19">
          <cell r="B19">
            <v>106.1</v>
          </cell>
        </row>
        <row r="20">
          <cell r="B20">
            <v>235.2</v>
          </cell>
        </row>
        <row r="21">
          <cell r="B21">
            <v>82.4</v>
          </cell>
        </row>
        <row r="22">
          <cell r="B22">
            <v>107.1</v>
          </cell>
        </row>
        <row r="23">
          <cell r="B23">
            <v>71.900000000000006</v>
          </cell>
        </row>
        <row r="24">
          <cell r="B24">
            <v>201.5</v>
          </cell>
        </row>
        <row r="25">
          <cell r="B25">
            <v>30.2</v>
          </cell>
        </row>
        <row r="26">
          <cell r="B26">
            <v>44.6</v>
          </cell>
        </row>
        <row r="27">
          <cell r="B27">
            <v>239.8</v>
          </cell>
        </row>
        <row r="28">
          <cell r="B28">
            <v>507.3</v>
          </cell>
        </row>
        <row r="29">
          <cell r="B29">
            <v>17.3</v>
          </cell>
        </row>
        <row r="30">
          <cell r="B30">
            <v>123.6</v>
          </cell>
        </row>
        <row r="31">
          <cell r="B31">
            <v>113</v>
          </cell>
        </row>
        <row r="32">
          <cell r="B32">
            <v>82.7</v>
          </cell>
        </row>
        <row r="33">
          <cell r="B33">
            <v>112</v>
          </cell>
        </row>
        <row r="34">
          <cell r="B34">
            <v>103.7</v>
          </cell>
        </row>
        <row r="35">
          <cell r="B35">
            <v>93.8</v>
          </cell>
        </row>
        <row r="36">
          <cell r="B36">
            <v>25.2</v>
          </cell>
        </row>
        <row r="37">
          <cell r="B37">
            <v>215.1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I"/>
      <sheetName val="Info"/>
    </sheetNames>
    <sheetDataSet>
      <sheetData sheetId="0" refreshError="1">
        <row r="2">
          <cell r="B2">
            <v>100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g 9.14"/>
      <sheetName val="Foglio1"/>
    </sheetNames>
    <sheetDataSet>
      <sheetData sheetId="0"/>
      <sheetData sheetId="1">
        <row r="2">
          <cell r="B2">
            <v>44.830695659770818</v>
          </cell>
        </row>
        <row r="3">
          <cell r="B3">
            <v>89.485561559463136</v>
          </cell>
        </row>
        <row r="4">
          <cell r="B4">
            <v>1.9060648608224504</v>
          </cell>
        </row>
        <row r="5">
          <cell r="B5">
            <v>84.23881743098147</v>
          </cell>
        </row>
        <row r="6">
          <cell r="B6">
            <v>50</v>
          </cell>
        </row>
        <row r="7">
          <cell r="B7">
            <v>68.823564591244931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12.396384625279179</v>
          </cell>
        </row>
        <row r="11">
          <cell r="B11">
            <v>56.423137915747887</v>
          </cell>
        </row>
        <row r="12">
          <cell r="B12">
            <v>27.543889003309623</v>
          </cell>
        </row>
        <row r="13">
          <cell r="B13">
            <v>81.201913364273125</v>
          </cell>
        </row>
        <row r="14">
          <cell r="B14">
            <v>26.528594980249771</v>
          </cell>
        </row>
        <row r="15">
          <cell r="B15">
            <v>0</v>
          </cell>
        </row>
        <row r="16">
          <cell r="B16">
            <v>86.89662404990402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33.083490876212394</v>
          </cell>
        </row>
        <row r="20">
          <cell r="B20">
            <v>0</v>
          </cell>
        </row>
        <row r="21">
          <cell r="B21">
            <v>90</v>
          </cell>
        </row>
        <row r="22">
          <cell r="B22">
            <v>0</v>
          </cell>
        </row>
        <row r="23">
          <cell r="B23">
            <v>60.603432374436963</v>
          </cell>
        </row>
        <row r="24">
          <cell r="B24">
            <v>62.80196253145742</v>
          </cell>
        </row>
        <row r="25">
          <cell r="B25">
            <v>90.699480148668641</v>
          </cell>
        </row>
        <row r="26">
          <cell r="B26">
            <v>72.676853306912776</v>
          </cell>
        </row>
        <row r="27">
          <cell r="B27">
            <v>80.179646055664293</v>
          </cell>
        </row>
        <row r="28">
          <cell r="B28">
            <v>58.101469547972719</v>
          </cell>
        </row>
        <row r="29">
          <cell r="B29">
            <v>66</v>
          </cell>
        </row>
        <row r="30">
          <cell r="B30">
            <v>55.668591250982267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 1"/>
    </sheetNames>
    <sheetDataSet>
      <sheetData sheetId="0" refreshError="1">
        <row r="16">
          <cell r="B16">
            <v>113.3</v>
          </cell>
        </row>
        <row r="17">
          <cell r="B17">
            <v>114.9</v>
          </cell>
        </row>
        <row r="18">
          <cell r="B18">
            <v>53.6</v>
          </cell>
        </row>
        <row r="19">
          <cell r="B19">
            <v>71.3</v>
          </cell>
        </row>
        <row r="20">
          <cell r="B20">
            <v>75.099999999999994</v>
          </cell>
        </row>
        <row r="21">
          <cell r="B21">
            <v>143.5</v>
          </cell>
        </row>
        <row r="22">
          <cell r="B22">
            <v>84.9</v>
          </cell>
        </row>
        <row r="23">
          <cell r="B23">
            <v>126.3</v>
          </cell>
        </row>
        <row r="24">
          <cell r="B24">
            <v>113.5</v>
          </cell>
        </row>
        <row r="25">
          <cell r="B25">
            <v>107.1</v>
          </cell>
        </row>
        <row r="26">
          <cell r="B26">
            <v>86.9</v>
          </cell>
        </row>
        <row r="27">
          <cell r="B27">
            <v>67.400000000000006</v>
          </cell>
        </row>
        <row r="28">
          <cell r="B28">
            <v>136.4</v>
          </cell>
        </row>
        <row r="29">
          <cell r="B29">
            <v>101.7</v>
          </cell>
        </row>
        <row r="30">
          <cell r="B30">
            <v>77.900000000000006</v>
          </cell>
        </row>
        <row r="31">
          <cell r="B31">
            <v>68</v>
          </cell>
        </row>
        <row r="32">
          <cell r="B32">
            <v>132.1</v>
          </cell>
        </row>
        <row r="33">
          <cell r="B33">
            <v>117.1</v>
          </cell>
        </row>
        <row r="34">
          <cell r="B34">
            <v>144.69999999999999</v>
          </cell>
        </row>
        <row r="35">
          <cell r="B35">
            <v>59.9</v>
          </cell>
        </row>
        <row r="36">
          <cell r="B36">
            <v>87.9</v>
          </cell>
        </row>
        <row r="37">
          <cell r="B37">
            <v>55.5</v>
          </cell>
        </row>
        <row r="38">
          <cell r="B38">
            <v>86.1</v>
          </cell>
        </row>
        <row r="39">
          <cell r="B39">
            <v>86.9</v>
          </cell>
        </row>
        <row r="40">
          <cell r="B40">
            <v>96</v>
          </cell>
        </row>
        <row r="41">
          <cell r="B41">
            <v>123.2</v>
          </cell>
        </row>
        <row r="42">
          <cell r="B42">
            <v>165</v>
          </cell>
        </row>
        <row r="43">
          <cell r="B43">
            <v>121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ilippo" id="{2E86F043-5EDE-47A5-830D-E5030B929CD6}" userId="Filipp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05-23T15:03:40.42" personId="{2E86F043-5EDE-47A5-830D-E5030B929CD6}" id="{1FF6237F-2546-4BD7-9D6B-76A8C8FD81B0}">
    <text xml:space="preserve">Costs are a bit lower than the existing infrastructure for the country with already exisisting HSR infra. Could be attributed to budgetoverruns. </text>
  </threadedComment>
  <threadedComment ref="B19" dT="2023-05-23T15:04:15.11" personId="{2E86F043-5EDE-47A5-830D-E5030B929CD6}" id="{BB873A7F-75F2-41B9-935C-39AF3A21E652}">
    <text>Predicted cost for HSLZuid: 54.96 mill/km (NETHERLANDS HSL ZUID (ucl.ac.uk) )</text>
    <extLst>
      <x:ext xmlns:xltc2="http://schemas.microsoft.com/office/spreadsheetml/2020/threadedcomments2" uri="{F7C98A9C-CBB3-438F-8F68-D28B6AF4A901}">
        <xltc2:checksum>18921881</xltc2:checksum>
        <xltc2:hyperlink startIndex="43" length="32" url="http://www.omegacentre.bartlett.ucl.ac.uk/wp-content/uploads/2014/12/NETHERLANDS_HSL_ZUID_SUMMARY.pdf"/>
      </x:ext>
    </extLs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1" dT="2023-05-31T09:59:44.71" personId="{2E86F043-5EDE-47A5-830D-E5030B929CD6}" id="{294EC393-6C0D-460C-B0FA-585B60D0718D}">
    <text>Total lenght of the edges reproducing the infrastructure</text>
  </threadedComment>
  <threadedComment ref="K1" dT="2023-05-31T10:02:59.49" personId="{2E86F043-5EDE-47A5-830D-E5030B929CD6}" id="{B3E6E169-8017-402B-8F5D-72E93B334CA9}">
    <text>Cost to assign to each hexagon given the real lenght of the infrastructure with the new edges considered</text>
  </threadedComment>
  <threadedComment ref="F2" dT="2023-04-19T12:52:25.37" personId="{2E86F043-5EDE-47A5-830D-E5030B929CD6}" id="{A48DC626-F7E6-41AD-A908-BCEC41D10F42}">
    <text xml:space="preserve">Scheda - SILOS (infrastrutturestrategiche.it) 
Updated for 2023
</text>
    <extLst>
      <x:ext xmlns:xltc2="http://schemas.microsoft.com/office/spreadsheetml/2020/threadedcomments2" uri="{F7C98A9C-CBB3-438F-8F68-D28B6AF4A901}">
        <xltc2:checksum>1354148539</xltc2:checksum>
        <xltc2:hyperlink startIndex="0" length="45" url="https://silos.infrastrutturestrategiche.it/Home/Scheda/1010"/>
      </x:ext>
    </extLst>
  </threadedComment>
  <threadedComment ref="F3" dT="2023-04-19T13:35:29.07" personId="{2E86F043-5EDE-47A5-830D-E5030B929CD6}" id="{35AD4491-E829-456E-881A-BD80544DD393}">
    <text xml:space="preserve">The Channel Tunnel (gihub.org) Updated to current 1994-2020
</text>
    <extLst>
      <x:ext xmlns:xltc2="http://schemas.microsoft.com/office/spreadsheetml/2020/threadedcomments2" uri="{F7C98A9C-CBB3-438F-8F68-D28B6AF4A901}">
        <xltc2:checksum>3971209082</xltc2:checksum>
        <xltc2:hyperlink startIndex="0" length="30" url="https://www.gihub.org/connectivity-across-borders/case-studies/the-channel-tunnel/"/>
      </x:ext>
    </extLst>
  </threadedComment>
  <threadedComment ref="F10" dT="2023-04-19T13:20:49.51" personId="{2E86F043-5EDE-47A5-830D-E5030B929CD6}" id="{3C36A39C-927B-4509-A548-664FCC663116}">
    <text xml:space="preserve">Facts Worth Knowing about the Øresund Bridge.pdf (oresundsbron.com) 
Update to current prices 2020
</text>
    <extLst>
      <x:ext xmlns:xltc2="http://schemas.microsoft.com/office/spreadsheetml/2020/threadedcomments2" uri="{F7C98A9C-CBB3-438F-8F68-D28B6AF4A901}">
        <xltc2:checksum>362130140</xltc2:checksum>
        <xltc2:hyperlink startIndex="0" length="67" url="https://data.oresundsbron.com/cms/download/Facts%20Worth%20Knowing%20about%20the%20%C3%98resund%20Bridge.pdf"/>
      </x:ext>
    </extLst>
  </threadedComment>
  <threadedComment ref="F11" dT="2023-04-19T13:20:49.51" personId="{2E86F043-5EDE-47A5-830D-E5030B929CD6}" id="{1B3C012D-3D29-4D21-A584-C5F85BE10123}">
    <text xml:space="preserve">Facts Worth Knowing about the Øresund Bridge.pdf (oresundsbron.com) 
Update to current prices 2020
</text>
    <extLst>
      <x:ext xmlns:xltc2="http://schemas.microsoft.com/office/spreadsheetml/2020/threadedcomments2" uri="{F7C98A9C-CBB3-438F-8F68-D28B6AF4A901}">
        <xltc2:checksum>362130140</xltc2:checksum>
        <xltc2:hyperlink startIndex="0" length="67" url="https://data.oresundsbron.com/cms/download/Facts%20Worth%20Knowing%20about%20the%20%C3%98resund%20Bridge.pdf"/>
      </x:ext>
    </extLst>
  </threadedComment>
  <threadedComment ref="F13" dT="2023-04-19T13:12:13.67" personId="{2E86F043-5EDE-47A5-830D-E5030B929CD6}" id="{BA00C162-6BEB-423C-9F80-9BB1887CF179}">
    <text xml:space="preserve">Finance (femern.com) </text>
    <extLst>
      <x:ext xmlns:xltc2="http://schemas.microsoft.com/office/spreadsheetml/2020/threadedcomments2" uri="{F7C98A9C-CBB3-438F-8F68-D28B6AF4A901}">
        <xltc2:checksum>2662462002</xltc2:checksum>
        <xltc2:hyperlink startIndex="0" length="20" url="https://femern.com/finance/"/>
      </x:ext>
    </extLst>
  </threadedComment>
  <threadedComment ref="F14" dT="2023-04-19T13:12:17.35" personId="{2E86F043-5EDE-47A5-830D-E5030B929CD6}" id="{7F45D569-C345-4406-907A-531348354198}">
    <text xml:space="preserve">Finance (femern.com) </text>
    <extLst>
      <x:ext xmlns:xltc2="http://schemas.microsoft.com/office/spreadsheetml/2020/threadedcomments2" uri="{F7C98A9C-CBB3-438F-8F68-D28B6AF4A901}">
        <xltc2:checksum>2662462002</xltc2:checksum>
        <xltc2:hyperlink startIndex="0" length="20" url="https://femern.com/finance/"/>
      </x:ext>
    </extLst>
  </threadedComment>
  <threadedComment ref="F15" dT="2023-04-19T13:12:21.24" personId="{2E86F043-5EDE-47A5-830D-E5030B929CD6}" id="{FF546B66-DE95-4857-BF60-DE0EFB8B86AB}">
    <text xml:space="preserve">Finance (femern.com) </text>
    <extLst>
      <x:ext xmlns:xltc2="http://schemas.microsoft.com/office/spreadsheetml/2020/threadedcomments2" uri="{F7C98A9C-CBB3-438F-8F68-D28B6AF4A901}">
        <xltc2:checksum>2662462002</xltc2:checksum>
        <xltc2:hyperlink startIndex="0" length="20" url="https://femern.com/finance/"/>
      </x:ext>
    </extLst>
  </threadedComment>
  <threadedComment ref="F16" dT="2023-04-19T13:12:25.84" personId="{2E86F043-5EDE-47A5-830D-E5030B929CD6}" id="{63BB9264-FFA1-4D27-BD94-1A4CB4067282}">
    <text xml:space="preserve">Finance (femern.com) </text>
    <extLst>
      <x:ext xmlns:xltc2="http://schemas.microsoft.com/office/spreadsheetml/2020/threadedcomments2" uri="{F7C98A9C-CBB3-438F-8F68-D28B6AF4A901}">
        <xltc2:checksum>2662462002</xltc2:checksum>
        <xltc2:hyperlink startIndex="0" length="20" url="https://femern.com/finance/"/>
      </x:ext>
    </extLst>
  </threadedComment>
  <threadedComment ref="F17" dT="2023-04-19T13:23:47.36" personId="{2E86F043-5EDE-47A5-830D-E5030B929CD6}" id="{2F758CD8-7B39-4A29-B337-6274B0641328}">
    <text>The New Little Belt bridge (visitmiddelfart.com) 
Adjusted to current prices 1970-2020</text>
    <extLst>
      <x:ext xmlns:xltc2="http://schemas.microsoft.com/office/spreadsheetml/2020/threadedcomments2" uri="{F7C98A9C-CBB3-438F-8F68-D28B6AF4A901}">
        <xltc2:checksum>3419589299</xltc2:checksum>
        <xltc2:hyperlink startIndex="0" length="48" url="https://www.visitmiddelfart.com/middelfart/plan-your-trip/new-little-belt-bridge-gdk614479"/>
      </x:ext>
    </extLst>
  </threadedComment>
  <threadedComment ref="F18" dT="2023-04-19T13:30:23.79" personId="{2E86F043-5EDE-47A5-830D-E5030B929CD6}" id="{E74BAFEB-D3FE-41DB-B816-365E7CBDEC8C}">
    <text xml:space="preserve">The construction costs for the Storebælt link (sundogbaelt.dk) </text>
    <extLst>
      <x:ext xmlns:xltc2="http://schemas.microsoft.com/office/spreadsheetml/2020/threadedcomments2" uri="{F7C98A9C-CBB3-438F-8F68-D28B6AF4A901}">
        <xltc2:checksum>3754723605</xltc2:checksum>
        <xltc2:hyperlink startIndex="0" length="62" url="https://sundogbaelt.dk/en/about-us/finance-economics/construction-costs/the-construction-costs-for-the-storebaelt-link/"/>
      </x:ext>
    </extLst>
  </threadedComment>
  <threadedComment ref="F19" dT="2023-04-19T13:30:26.47" personId="{2E86F043-5EDE-47A5-830D-E5030B929CD6}" id="{AE40256B-B169-467F-B1F5-231DAD186247}">
    <text xml:space="preserve">The construction costs for the Storebælt link (sundogbaelt.dk) </text>
    <extLst>
      <x:ext xmlns:xltc2="http://schemas.microsoft.com/office/spreadsheetml/2020/threadedcomments2" uri="{F7C98A9C-CBB3-438F-8F68-D28B6AF4A901}">
        <xltc2:checksum>3754723605</xltc2:checksum>
        <xltc2:hyperlink startIndex="0" length="62" url="https://sundogbaelt.dk/en/about-us/finance-economics/construction-costs/the-construction-costs-for-the-storebaelt-link/"/>
      </x:ext>
    </extLst>
  </threadedComment>
  <threadedComment ref="F20" dT="2023-04-19T13:30:29.59" personId="{2E86F043-5EDE-47A5-830D-E5030B929CD6}" id="{0F5D6B9D-5E90-455E-9F66-7821263FF9F9}">
    <text xml:space="preserve">The construction costs for the Storebælt link (sundogbaelt.dk) </text>
    <extLst>
      <x:ext xmlns:xltc2="http://schemas.microsoft.com/office/spreadsheetml/2020/threadedcomments2" uri="{F7C98A9C-CBB3-438F-8F68-D28B6AF4A901}">
        <xltc2:checksum>3754723605</xltc2:checksum>
        <xltc2:hyperlink startIndex="0" length="62" url="https://sundogbaelt.dk/en/about-us/finance-economics/construction-costs/the-construction-costs-for-the-storebaelt-link/"/>
      </x:ext>
    </extLst>
  </threadedComment>
  <threadedComment ref="F21" dT="2023-04-19T13:30:33.25" personId="{2E86F043-5EDE-47A5-830D-E5030B929CD6}" id="{E1802737-8DF4-4818-AE9E-B35765F8E4C9}">
    <text xml:space="preserve">The construction costs for the Storebælt link (sundogbaelt.dk) </text>
    <extLst>
      <x:ext xmlns:xltc2="http://schemas.microsoft.com/office/spreadsheetml/2020/threadedcomments2" uri="{F7C98A9C-CBB3-438F-8F68-D28B6AF4A901}">
        <xltc2:checksum>3754723605</xltc2:checksum>
        <xltc2:hyperlink startIndex="0" length="62" url="https://sundogbaelt.dk/en/about-us/finance-economics/construction-costs/the-construction-costs-for-the-storebaelt-link/"/>
      </x:ext>
    </extLst>
  </threadedComment>
  <threadedComment ref="F22" dT="2023-04-19T13:30:33.25" personId="{2E86F043-5EDE-47A5-830D-E5030B929CD6}" id="{011B0733-0C99-4C15-8332-3C41F5EF715C}">
    <text xml:space="preserve">Two times little belt give distance
 </text>
  </threadedComment>
  <threadedComment ref="F23" dT="2023-06-01T22:02:37.21" personId="{2E86F043-5EDE-47A5-830D-E5030B929CD6}" id="{72028A43-4217-46E2-818D-B8763892AD6D}">
    <text xml:space="preserve">Helsinki-Tallinn Railway Tunnel, Gulf of Finland - Railway Technology (railway-technology.com) </text>
    <extLst>
      <x:ext xmlns:xltc2="http://schemas.microsoft.com/office/spreadsheetml/2020/threadedcomments2" uri="{F7C98A9C-CBB3-438F-8F68-D28B6AF4A901}">
        <xltc2:checksum>2488294293</xltc2:checksum>
        <xltc2:hyperlink startIndex="0" length="94" url="https://www.railway-technology.com/projects/helsinki-tallinn-railway-tunnel-gulf-of-finland/"/>
      </x:ext>
    </extLs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9" dT="2023-06-26T09:20:56.60" personId="{2E86F043-5EDE-47A5-830D-E5030B929CD6}" id="{53F205A7-F03D-4AA6-8AAC-C2A7DD1E5405}">
    <text>Media senza montagne</text>
  </threadedComment>
  <threadedComment ref="J9" dT="2023-06-26T09:21:19.96" personId="{2E86F043-5EDE-47A5-830D-E5030B929CD6}" id="{97AA6CB5-1BDC-4709-A27D-021031BFCC0F}">
    <text>Media senza montagne</text>
  </threadedComment>
  <threadedComment ref="I10" dT="2023-06-26T09:20:56.60" personId="{2E86F043-5EDE-47A5-830D-E5030B929CD6}" id="{9D98AB6A-7EA7-45F0-8A9B-6F0AC9B1B3EB}">
    <text>Media senza montagne</text>
  </threadedComment>
  <threadedComment ref="J10" dT="2023-06-26T09:21:24.13" personId="{2E86F043-5EDE-47A5-830D-E5030B929CD6}" id="{D56DF4FD-81CA-4351-BC82-EFEDE05C118F}">
    <text xml:space="preserve">Media senza montagne
</text>
  </threadedComment>
  <threadedComment ref="J16" dT="2023-06-26T09:21:31.96" personId="{2E86F043-5EDE-47A5-830D-E5030B929CD6}" id="{C438451D-55BE-4034-8F12-A36F711EA583}">
    <text xml:space="preserve">Media senza montagne
</text>
  </threadedComment>
  <threadedComment ref="J18" dT="2023-06-26T09:21:38.72" personId="{2E86F043-5EDE-47A5-830D-E5030B929CD6}" id="{CEF963E7-A87B-4226-B1C7-0D1EF0E28642}">
    <text xml:space="preserve">Media senza montagne
</text>
  </threadedComment>
  <threadedComment ref="J19" dT="2023-06-26T09:21:43.88" personId="{2E86F043-5EDE-47A5-830D-E5030B929CD6}" id="{CC081764-1614-4433-A60F-114D1C92B7C5}">
    <text xml:space="preserve">Media senza montagne
</text>
  </threadedComment>
  <threadedComment ref="J21" dT="2023-06-26T09:21:52.99" personId="{2E86F043-5EDE-47A5-830D-E5030B929CD6}" id="{C22D6536-1BFB-469A-B28B-084255E1D789}">
    <text xml:space="preserve">Media senza montagne
</text>
  </threadedComment>
  <threadedComment ref="B31" dT="2023-04-21T16:11:41.93" personId="{2E86F043-5EDE-47A5-830D-E5030B929CD6}" id="{8F76AE41-6FEE-4AA6-9254-291867D4EC2E}">
    <text xml:space="preserve">U.K. Population (2023) - Worldometer (worldometers.info) </text>
    <extLst>
      <x:ext xmlns:xltc2="http://schemas.microsoft.com/office/spreadsheetml/2020/threadedcomments2" uri="{F7C98A9C-CBB3-438F-8F68-D28B6AF4A901}">
        <xltc2:checksum>454599157</xltc2:checksum>
        <xltc2:hyperlink startIndex="0" length="56" url="https://www.worldometers.info/world-population/uk-population/#:~:text=the%20U.K.%20ranks%20number%2021,727%20people%20per%20mi2)."/>
      </x:ext>
    </extLs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E2" dT="2023-04-26T10:16:57.57" personId="{2E86F043-5EDE-47A5-830D-E5030B929CD6}" id="{2BE7D6E9-E38F-4A1A-AC90-EBF8124B017F}">
    <text xml:space="preserve">Assuming that the highset value of the range is the most expensive tunnel infrastructure
</text>
  </threadedComment>
  <threadedComment ref="B4" dT="2023-04-26T10:19:06.37" personId="{2E86F043-5EDE-47A5-830D-E5030B929CD6}" id="{E7F26C6C-89C5-40C4-9D0E-04A667793C02}">
    <text xml:space="preserve">A European high-speed rail network: not a reality but an ineffective patchwork (europa.eu) </text>
    <extLst>
      <x:ext xmlns:xltc2="http://schemas.microsoft.com/office/spreadsheetml/2020/threadedcomments2" uri="{F7C98A9C-CBB3-438F-8F68-D28B6AF4A901}">
        <xltc2:checksum>810140166</xltc2:checksum>
        <xltc2:hyperlink startIndex="0" length="90" url="https://www.eca.europa.eu/Lists/ECADocuments/SR18_19/SR_HIGH_SPEED_RAIL_EN.pdf"/>
      </x:ext>
    </extLst>
  </threadedComment>
  <threadedComment ref="B5" dT="2023-04-26T10:19:55.80" personId="{2E86F043-5EDE-47A5-830D-E5030B929CD6}" id="{3B80F72C-14D2-4E47-969E-1FD51C99EFB9}">
    <text xml:space="preserve">2017852_E_web_light+c1.pdf (unece.org) </text>
    <extLst>
      <x:ext xmlns:xltc2="http://schemas.microsoft.com/office/spreadsheetml/2020/threadedcomments2" uri="{F7C98A9C-CBB3-438F-8F68-D28B6AF4A901}">
        <xltc2:checksum>1832381270</xltc2:checksum>
        <xltc2:hyperlink startIndex="0" length="38" url="https://unece.org/sites/default/files/2022-07/2017852_E_web_light%2Bc1.pdf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unece.org/sites/default/files/2022-07/2017852_E_web_light%2Bc1.pdf" TargetMode="External"/><Relationship Id="rId6" Type="http://schemas.microsoft.com/office/2017/10/relationships/threadedComment" Target="../threadedComments/threadedComment4.xm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BD409-BA0B-43B6-A9D1-73D9331ABFFE}">
  <dimension ref="A1:C29"/>
  <sheetViews>
    <sheetView zoomScale="90" zoomScaleNormal="90" workbookViewId="0">
      <selection activeCell="B2" sqref="B2"/>
    </sheetView>
  </sheetViews>
  <sheetFormatPr defaultRowHeight="14.5" x14ac:dyDescent="0.35"/>
  <cols>
    <col min="1" max="1" width="14.81640625" bestFit="1" customWidth="1"/>
    <col min="2" max="2" width="12.54296875" bestFit="1" customWidth="1"/>
    <col min="3" max="3" width="12.6328125" bestFit="1" customWidth="1"/>
  </cols>
  <sheetData>
    <row r="1" spans="1:3" s="3" customFormat="1" ht="15" thickBot="1" x14ac:dyDescent="0.4">
      <c r="A1" s="17" t="s">
        <v>0</v>
      </c>
      <c r="B1" s="18" t="s">
        <v>1</v>
      </c>
      <c r="C1" s="19" t="s">
        <v>2</v>
      </c>
    </row>
    <row r="2" spans="1:3" x14ac:dyDescent="0.35">
      <c r="A2" s="23" t="s">
        <v>20</v>
      </c>
      <c r="B2" s="63">
        <f>MilEurPkm!$D$11*CostIndex!K4</f>
        <v>22.567570019860469</v>
      </c>
      <c r="C2" s="64">
        <f>MilEurPkm!$E$11*CostIndex!K4</f>
        <v>65.327176373280309</v>
      </c>
    </row>
    <row r="3" spans="1:3" x14ac:dyDescent="0.35">
      <c r="A3" s="24" t="s">
        <v>19</v>
      </c>
      <c r="B3" s="26">
        <f>MilEurPkm!$D$11*CostIndex!K5</f>
        <v>25.735965658162183</v>
      </c>
      <c r="C3" s="27">
        <f>MilEurPkm!$E$11*CostIndex!K5</f>
        <v>74.498847957837896</v>
      </c>
    </row>
    <row r="4" spans="1:3" x14ac:dyDescent="0.35">
      <c r="A4" s="24" t="s">
        <v>12</v>
      </c>
      <c r="B4" s="26">
        <f>MilEurPkm!$D$11*CostIndex!K6</f>
        <v>14.701674727839702</v>
      </c>
      <c r="C4" s="27">
        <f>MilEurPkm!$E$11*CostIndex!K6</f>
        <v>42.557479475325451</v>
      </c>
    </row>
    <row r="5" spans="1:3" x14ac:dyDescent="0.35">
      <c r="A5" s="24" t="s">
        <v>21</v>
      </c>
      <c r="B5" s="26">
        <f>MilEurPkm!$D$11*CostIndex!K7</f>
        <v>12.279409568128029</v>
      </c>
      <c r="C5" s="27">
        <f>MilEurPkm!$E$11*CostIndex!K7</f>
        <v>35.54565927616008</v>
      </c>
    </row>
    <row r="6" spans="1:3" x14ac:dyDescent="0.35">
      <c r="A6" s="24" t="s">
        <v>16</v>
      </c>
      <c r="B6" s="26">
        <f>MilEurPkm!$D$11*CostIndex!K8</f>
        <v>18.594813938944974</v>
      </c>
      <c r="C6" s="27">
        <f>MilEurPkm!$E$11*CostIndex!K8</f>
        <v>53.827092981156497</v>
      </c>
    </row>
    <row r="7" spans="1:3" x14ac:dyDescent="0.35">
      <c r="A7" s="24" t="s">
        <v>26</v>
      </c>
      <c r="B7" s="26">
        <f>MilEurPkm!$D$11*CostIndex!K9</f>
        <v>15.201840423141732</v>
      </c>
      <c r="C7" s="27">
        <f>MilEurPkm!$E$11*CostIndex!K9</f>
        <v>44.005327540673434</v>
      </c>
    </row>
    <row r="8" spans="1:3" x14ac:dyDescent="0.35">
      <c r="A8" s="24" t="s">
        <v>28</v>
      </c>
      <c r="B8" s="26">
        <f>MilEurPkm!$D$11*CostIndex!K10</f>
        <v>5.5726784063805423</v>
      </c>
      <c r="C8" s="27">
        <f>MilEurPkm!$E$11*CostIndex!K10</f>
        <v>16.131437492154202</v>
      </c>
    </row>
    <row r="9" spans="1:3" x14ac:dyDescent="0.35">
      <c r="A9" s="24" t="s">
        <v>15</v>
      </c>
      <c r="B9" s="26">
        <f>MilEurPkm!$D$11*CostIndex!K11</f>
        <v>9.9269096120930609</v>
      </c>
      <c r="C9" s="27">
        <f>MilEurPkm!$E$11*CostIndex!K11</f>
        <v>28.735790982374649</v>
      </c>
    </row>
    <row r="10" spans="1:3" x14ac:dyDescent="0.35">
      <c r="A10" s="24" t="s">
        <v>3</v>
      </c>
      <c r="B10" s="26">
        <f>MilEurPkm!$D$11*CostIndex!K12</f>
        <v>34.500576476562216</v>
      </c>
      <c r="C10" s="27">
        <f>MilEurPkm!$E$11*CostIndex!K12</f>
        <v>99.870089800574831</v>
      </c>
    </row>
    <row r="11" spans="1:3" x14ac:dyDescent="0.35">
      <c r="A11" s="24" t="s">
        <v>5</v>
      </c>
      <c r="B11" s="26">
        <f>MilEurPkm!$D$11*CostIndex!K13</f>
        <v>44.625468074328779</v>
      </c>
      <c r="C11" s="27">
        <f>MilEurPkm!$E$11*CostIndex!K13</f>
        <v>129.17898653095173</v>
      </c>
    </row>
    <row r="12" spans="1:3" x14ac:dyDescent="0.35">
      <c r="A12" s="24" t="s">
        <v>14</v>
      </c>
      <c r="B12" s="26">
        <f>MilEurPkm!$D$11*CostIndex!K14</f>
        <v>17.71432931127271</v>
      </c>
      <c r="C12" s="27">
        <f>MilEurPkm!$E$11*CostIndex!K14</f>
        <v>51.278321690526262</v>
      </c>
    </row>
    <row r="13" spans="1:3" x14ac:dyDescent="0.35">
      <c r="A13" s="24" t="s">
        <v>13</v>
      </c>
      <c r="B13" s="26">
        <f>MilEurPkm!$D$11*CostIndex!K15</f>
        <v>11.792214068535761</v>
      </c>
      <c r="C13" s="27">
        <f>MilEurPkm!$E$11*CostIndex!K15</f>
        <v>34.135356514182469</v>
      </c>
    </row>
    <row r="14" spans="1:3" x14ac:dyDescent="0.35">
      <c r="A14" s="24" t="s">
        <v>22</v>
      </c>
      <c r="B14" s="26">
        <f>MilEurPkm!$D$11*CostIndex!K16</f>
        <v>12.320491349569686</v>
      </c>
      <c r="C14" s="27">
        <f>MilEurPkm!$E$11*CostIndex!K16</f>
        <v>35.664580222438566</v>
      </c>
    </row>
    <row r="15" spans="1:3" x14ac:dyDescent="0.35">
      <c r="A15" s="24" t="s">
        <v>6</v>
      </c>
      <c r="B15" s="26">
        <f>MilEurPkm!$D$11*CostIndex!K17</f>
        <v>36.459600668461114</v>
      </c>
      <c r="C15" s="27">
        <f>MilEurPkm!$E$11*CostIndex!K17</f>
        <v>105.54094930344007</v>
      </c>
    </row>
    <row r="16" spans="1:3" x14ac:dyDescent="0.35">
      <c r="A16" s="24" t="s">
        <v>24</v>
      </c>
      <c r="B16" s="26">
        <f>MilEurPkm!$D$11*CostIndex!K18</f>
        <v>5.2492284283444066</v>
      </c>
      <c r="C16" s="27">
        <f>MilEurPkm!$E$11*CostIndex!K18</f>
        <v>15.195134924154862</v>
      </c>
    </row>
    <row r="17" spans="1:3" x14ac:dyDescent="0.35">
      <c r="A17" s="24" t="s">
        <v>27</v>
      </c>
      <c r="B17" s="26">
        <f>MilEurPkm!$D$11*CostIndex!K19</f>
        <v>5.5449695492716327</v>
      </c>
      <c r="C17" s="27">
        <f>MilEurPkm!$E$11*CostIndex!K19</f>
        <v>16.051227642628412</v>
      </c>
    </row>
    <row r="18" spans="1:3" x14ac:dyDescent="0.35">
      <c r="A18" s="24" t="s">
        <v>30</v>
      </c>
      <c r="B18" s="26">
        <f>MilEurPkm!$D$11*CostIndex!K20</f>
        <v>20.703648097519707</v>
      </c>
      <c r="C18" s="27">
        <f>MilEurPkm!$E$11*CostIndex!K20</f>
        <v>59.931612913872833</v>
      </c>
    </row>
    <row r="19" spans="1:3" x14ac:dyDescent="0.35">
      <c r="A19" s="24" t="s">
        <v>11</v>
      </c>
      <c r="B19" s="26">
        <f>MilEurPkm!$D$11*CostIndex!K21</f>
        <v>33.842377137386052</v>
      </c>
      <c r="C19" s="27">
        <f>MilEurPkm!$E$11*CostIndex!K21</f>
        <v>97.964775924012244</v>
      </c>
    </row>
    <row r="20" spans="1:3" x14ac:dyDescent="0.35">
      <c r="A20" s="24" t="s">
        <v>18</v>
      </c>
      <c r="B20" s="26">
        <f>MilEurPkm!$D$11*CostIndex!K22</f>
        <v>19.935233137424287</v>
      </c>
      <c r="C20" s="27">
        <f>MilEurPkm!$E$11*CostIndex!K22</f>
        <v>57.707253818859783</v>
      </c>
    </row>
    <row r="21" spans="1:3" x14ac:dyDescent="0.35">
      <c r="A21" s="24" t="s">
        <v>7</v>
      </c>
      <c r="B21" s="26">
        <f>MilEurPkm!$D$11*CostIndex!K23</f>
        <v>12.27446298031467</v>
      </c>
      <c r="C21" s="27">
        <f>MilEurPkm!$E$11*CostIndex!K23</f>
        <v>35.531340206174043</v>
      </c>
    </row>
    <row r="22" spans="1:3" x14ac:dyDescent="0.35">
      <c r="A22" s="24" t="s">
        <v>17</v>
      </c>
      <c r="B22" s="26">
        <f>MilEurPkm!$D$11*CostIndex!K24</f>
        <v>17.148361435100167</v>
      </c>
      <c r="C22" s="27">
        <f>MilEurPkm!$E$11*CostIndex!K24</f>
        <v>49.639993627921534</v>
      </c>
    </row>
    <row r="23" spans="1:3" x14ac:dyDescent="0.35">
      <c r="A23" s="24" t="s">
        <v>9</v>
      </c>
      <c r="B23" s="26">
        <f>MilEurPkm!$D$11*CostIndex!K25</f>
        <v>14.59632769829479</v>
      </c>
      <c r="C23" s="27">
        <f>MilEurPkm!$E$11*CostIndex!K25</f>
        <v>42.252527547695443</v>
      </c>
    </row>
    <row r="24" spans="1:3" x14ac:dyDescent="0.35">
      <c r="A24" s="24" t="s">
        <v>25</v>
      </c>
      <c r="B24" s="26">
        <f>MilEurPkm!$D$11*CostIndex!K26</f>
        <v>19.297408705389568</v>
      </c>
      <c r="C24" s="27">
        <f>MilEurPkm!$E$11*CostIndex!K26</f>
        <v>55.860919936654014</v>
      </c>
    </row>
    <row r="25" spans="1:3" x14ac:dyDescent="0.35">
      <c r="A25" s="24" t="s">
        <v>29</v>
      </c>
      <c r="B25" s="26">
        <f>MilEurPkm!$D$11*CostIndex!K27</f>
        <v>16.715685157882341</v>
      </c>
      <c r="C25" s="27">
        <f>MilEurPkm!$E$11*CostIndex!K27</f>
        <v>48.387509667554141</v>
      </c>
    </row>
    <row r="26" spans="1:3" x14ac:dyDescent="0.35">
      <c r="A26" s="24" t="s">
        <v>4</v>
      </c>
      <c r="B26" s="26">
        <f>MilEurPkm!$D$11*CostIndex!K28</f>
        <v>26.599383652792298</v>
      </c>
      <c r="C26" s="27">
        <f>MilEurPkm!$E$11*CostIndex!K28</f>
        <v>76.998215837030344</v>
      </c>
    </row>
    <row r="27" spans="1:3" x14ac:dyDescent="0.35">
      <c r="A27" s="24" t="s">
        <v>10</v>
      </c>
      <c r="B27" s="26">
        <f>MilEurPkm!$D$11*CostIndex!K29</f>
        <v>16.726830465150083</v>
      </c>
      <c r="C27" s="27">
        <f>MilEurPkm!$E$11*CostIndex!K29</f>
        <v>48.419772399118663</v>
      </c>
    </row>
    <row r="28" spans="1:3" x14ac:dyDescent="0.35">
      <c r="A28" s="24" t="s">
        <v>23</v>
      </c>
      <c r="B28" s="26">
        <f>MilEurPkm!$D$11*CostIndex!K30</f>
        <v>29.09695364885259</v>
      </c>
      <c r="C28" s="27">
        <f>MilEurPkm!$E$11*CostIndex!K30</f>
        <v>84.228023720362756</v>
      </c>
    </row>
    <row r="29" spans="1:3" ht="15" thickBot="1" x14ac:dyDescent="0.4">
      <c r="A29" s="25" t="s">
        <v>8</v>
      </c>
      <c r="B29" s="28">
        <f>MilEurPkm!$D$11*CostIndex!K31</f>
        <v>43.074238979143274</v>
      </c>
      <c r="C29" s="29">
        <f>MilEurPkm!$E$11*CostIndex!K31</f>
        <v>124.68858651857263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E4C7-AB79-40F9-82C9-C1A9B5448ED6}">
  <dimension ref="A1:K36"/>
  <sheetViews>
    <sheetView workbookViewId="0">
      <selection activeCell="K23" sqref="A1:K23"/>
    </sheetView>
  </sheetViews>
  <sheetFormatPr defaultRowHeight="14.5" x14ac:dyDescent="0.35"/>
  <cols>
    <col min="1" max="1" width="21.54296875" bestFit="1" customWidth="1"/>
    <col min="2" max="2" width="14" bestFit="1" customWidth="1"/>
    <col min="3" max="3" width="14.08984375" hidden="1" customWidth="1"/>
    <col min="4" max="4" width="18.81640625" hidden="1" customWidth="1"/>
    <col min="5" max="5" width="8.81640625" hidden="1" customWidth="1"/>
    <col min="6" max="6" width="12" bestFit="1" customWidth="1"/>
    <col min="8" max="8" width="12.36328125" customWidth="1"/>
    <col min="9" max="9" width="10.54296875" bestFit="1" customWidth="1"/>
    <col min="10" max="10" width="15.54296875" customWidth="1"/>
    <col min="11" max="11" width="12.1796875" bestFit="1" customWidth="1"/>
    <col min="13" max="13" width="13.453125" customWidth="1"/>
    <col min="14" max="15" width="12" bestFit="1" customWidth="1"/>
  </cols>
  <sheetData>
    <row r="1" spans="1:11" x14ac:dyDescent="0.35">
      <c r="A1" s="4" t="s">
        <v>52</v>
      </c>
      <c r="B1" s="5" t="s">
        <v>0</v>
      </c>
      <c r="C1" s="4" t="s">
        <v>32</v>
      </c>
      <c r="D1" s="4" t="s">
        <v>84</v>
      </c>
      <c r="E1" s="4" t="s">
        <v>33</v>
      </c>
      <c r="F1" s="5" t="s">
        <v>69</v>
      </c>
      <c r="G1" s="5" t="s">
        <v>58</v>
      </c>
      <c r="H1" s="10" t="s">
        <v>68</v>
      </c>
      <c r="I1" s="4" t="s">
        <v>102</v>
      </c>
      <c r="J1" s="5" t="s">
        <v>59</v>
      </c>
      <c r="K1" s="4" t="s">
        <v>103</v>
      </c>
    </row>
    <row r="2" spans="1:11" x14ac:dyDescent="0.35">
      <c r="A2" t="s">
        <v>53</v>
      </c>
      <c r="B2" t="s">
        <v>6</v>
      </c>
      <c r="C2" t="s">
        <v>34</v>
      </c>
      <c r="D2" t="str">
        <f>_xlfn.CONCAT(C2,"0_250")</f>
        <v>863f26cd7ffffff0_250</v>
      </c>
      <c r="E2">
        <v>0</v>
      </c>
      <c r="F2">
        <v>10000000000</v>
      </c>
      <c r="G2">
        <v>3.5</v>
      </c>
      <c r="H2">
        <v>2</v>
      </c>
      <c r="I2">
        <f>H2*7</f>
        <v>14</v>
      </c>
      <c r="J2" s="30">
        <f>(F2/G2)/1000000</f>
        <v>2857.1428571428569</v>
      </c>
      <c r="K2" s="30">
        <f>F2/I2/1000000</f>
        <v>714.28571428571422</v>
      </c>
    </row>
    <row r="3" spans="1:11" x14ac:dyDescent="0.35">
      <c r="A3" t="s">
        <v>54</v>
      </c>
      <c r="B3" t="s">
        <v>3</v>
      </c>
      <c r="C3" t="s">
        <v>35</v>
      </c>
      <c r="D3" t="str">
        <f t="shared" ref="D3:D36" si="0">_xlfn.CONCAT(C3,"0_250")</f>
        <v>86194815fffffff0_250</v>
      </c>
      <c r="E3">
        <v>0</v>
      </c>
      <c r="F3">
        <v>16470000000</v>
      </c>
      <c r="G3">
        <v>50.46</v>
      </c>
      <c r="H3">
        <v>8</v>
      </c>
      <c r="I3">
        <f t="shared" ref="I3:I36" si="1">H3*7</f>
        <v>56</v>
      </c>
      <c r="J3" s="30">
        <f t="shared" ref="J3:J22" si="2">(F3/G3)/1000000</f>
        <v>326.39714625445896</v>
      </c>
      <c r="K3" s="30">
        <f t="shared" ref="K3:K36" si="3">F3/I3/1000000</f>
        <v>294.10714285714289</v>
      </c>
    </row>
    <row r="4" spans="1:11" hidden="1" x14ac:dyDescent="0.35">
      <c r="A4" t="s">
        <v>54</v>
      </c>
      <c r="B4" t="s">
        <v>3</v>
      </c>
      <c r="C4" t="s">
        <v>36</v>
      </c>
      <c r="D4" t="str">
        <f t="shared" si="0"/>
        <v>86194802fffffff0_250</v>
      </c>
      <c r="E4">
        <v>0</v>
      </c>
      <c r="F4">
        <v>16470000000</v>
      </c>
      <c r="G4">
        <v>50.46</v>
      </c>
      <c r="H4">
        <v>8</v>
      </c>
      <c r="I4">
        <f t="shared" si="1"/>
        <v>56</v>
      </c>
      <c r="J4" s="30">
        <f t="shared" si="2"/>
        <v>326.39714625445896</v>
      </c>
      <c r="K4" s="30">
        <f t="shared" si="3"/>
        <v>294.10714285714289</v>
      </c>
    </row>
    <row r="5" spans="1:11" hidden="1" x14ac:dyDescent="0.35">
      <c r="A5" t="s">
        <v>54</v>
      </c>
      <c r="B5" t="s">
        <v>3</v>
      </c>
      <c r="C5" t="s">
        <v>37</v>
      </c>
      <c r="D5" t="str">
        <f t="shared" si="0"/>
        <v>861948007ffffff0_250</v>
      </c>
      <c r="E5">
        <v>0</v>
      </c>
      <c r="F5">
        <v>16470000000</v>
      </c>
      <c r="G5">
        <v>50.46</v>
      </c>
      <c r="H5">
        <v>8</v>
      </c>
      <c r="I5">
        <f t="shared" si="1"/>
        <v>56</v>
      </c>
      <c r="J5" s="30">
        <f t="shared" si="2"/>
        <v>326.39714625445896</v>
      </c>
      <c r="K5" s="30">
        <f t="shared" si="3"/>
        <v>294.10714285714289</v>
      </c>
    </row>
    <row r="6" spans="1:11" hidden="1" x14ac:dyDescent="0.35">
      <c r="A6" t="s">
        <v>54</v>
      </c>
      <c r="B6" t="s">
        <v>3</v>
      </c>
      <c r="C6" t="s">
        <v>38</v>
      </c>
      <c r="D6" t="str">
        <f t="shared" si="0"/>
        <v>861948017ffffff0_250</v>
      </c>
      <c r="E6">
        <v>0</v>
      </c>
      <c r="F6">
        <v>16470000000</v>
      </c>
      <c r="G6">
        <v>50.46</v>
      </c>
      <c r="H6">
        <v>8</v>
      </c>
      <c r="I6">
        <f t="shared" si="1"/>
        <v>56</v>
      </c>
      <c r="J6" s="30">
        <f t="shared" si="2"/>
        <v>326.39714625445896</v>
      </c>
      <c r="K6" s="30">
        <f t="shared" si="3"/>
        <v>294.10714285714289</v>
      </c>
    </row>
    <row r="7" spans="1:11" hidden="1" x14ac:dyDescent="0.35">
      <c r="A7" t="s">
        <v>54</v>
      </c>
      <c r="B7" t="s">
        <v>8</v>
      </c>
      <c r="C7" t="s">
        <v>39</v>
      </c>
      <c r="D7" t="str">
        <f t="shared" si="0"/>
        <v>8619480a7ffffff0_250</v>
      </c>
      <c r="E7">
        <v>0</v>
      </c>
      <c r="F7">
        <v>16470000000</v>
      </c>
      <c r="G7">
        <v>50.46</v>
      </c>
      <c r="H7">
        <v>8</v>
      </c>
      <c r="I7">
        <f t="shared" si="1"/>
        <v>56</v>
      </c>
      <c r="J7" s="30">
        <f t="shared" si="2"/>
        <v>326.39714625445896</v>
      </c>
      <c r="K7" s="30">
        <f t="shared" si="3"/>
        <v>294.10714285714289</v>
      </c>
    </row>
    <row r="8" spans="1:11" hidden="1" x14ac:dyDescent="0.35">
      <c r="A8" t="s">
        <v>54</v>
      </c>
      <c r="B8" t="s">
        <v>8</v>
      </c>
      <c r="C8" t="s">
        <v>40</v>
      </c>
      <c r="D8" t="str">
        <f t="shared" si="0"/>
        <v>86194819fffffff0_250</v>
      </c>
      <c r="E8">
        <v>0</v>
      </c>
      <c r="F8">
        <v>16470000000</v>
      </c>
      <c r="G8">
        <v>50.46</v>
      </c>
      <c r="H8">
        <v>8</v>
      </c>
      <c r="I8">
        <f t="shared" si="1"/>
        <v>56</v>
      </c>
      <c r="J8" s="30">
        <f t="shared" si="2"/>
        <v>326.39714625445896</v>
      </c>
      <c r="K8" s="30">
        <f t="shared" si="3"/>
        <v>294.10714285714289</v>
      </c>
    </row>
    <row r="9" spans="1:11" hidden="1" x14ac:dyDescent="0.35">
      <c r="A9" t="s">
        <v>54</v>
      </c>
      <c r="B9" t="s">
        <v>8</v>
      </c>
      <c r="C9" t="s">
        <v>41</v>
      </c>
      <c r="D9" t="str">
        <f t="shared" si="0"/>
        <v>86194856fffffff0_250</v>
      </c>
      <c r="E9">
        <v>0</v>
      </c>
      <c r="F9">
        <v>16470000000</v>
      </c>
      <c r="G9">
        <v>50.46</v>
      </c>
      <c r="H9">
        <v>8</v>
      </c>
      <c r="I9">
        <f t="shared" si="1"/>
        <v>56</v>
      </c>
      <c r="J9" s="30">
        <f t="shared" si="2"/>
        <v>326.39714625445896</v>
      </c>
      <c r="K9" s="30">
        <f t="shared" si="3"/>
        <v>294.10714285714289</v>
      </c>
    </row>
    <row r="10" spans="1:11" x14ac:dyDescent="0.35">
      <c r="A10" t="s">
        <v>55</v>
      </c>
      <c r="B10" t="s">
        <v>26</v>
      </c>
      <c r="C10" t="s">
        <v>42</v>
      </c>
      <c r="D10" t="str">
        <f t="shared" si="0"/>
        <v>861f058e7ffffff0_250</v>
      </c>
      <c r="E10">
        <v>0</v>
      </c>
      <c r="F10">
        <v>5461000000</v>
      </c>
      <c r="G10">
        <v>16</v>
      </c>
      <c r="H10">
        <v>4</v>
      </c>
      <c r="I10">
        <f t="shared" si="1"/>
        <v>28</v>
      </c>
      <c r="J10" s="30">
        <f t="shared" si="2"/>
        <v>341.3125</v>
      </c>
      <c r="K10" s="30">
        <f t="shared" si="3"/>
        <v>195.03571428571431</v>
      </c>
    </row>
    <row r="11" spans="1:11" hidden="1" x14ac:dyDescent="0.35">
      <c r="A11" t="s">
        <v>55</v>
      </c>
      <c r="B11" t="s">
        <v>10</v>
      </c>
      <c r="C11" t="s">
        <v>43</v>
      </c>
      <c r="D11" t="str">
        <f t="shared" si="0"/>
        <v>861f058efffffff0_250</v>
      </c>
      <c r="E11">
        <v>0</v>
      </c>
      <c r="F11">
        <v>5461000000</v>
      </c>
      <c r="G11">
        <v>16</v>
      </c>
      <c r="H11">
        <v>4</v>
      </c>
      <c r="I11">
        <f t="shared" si="1"/>
        <v>28</v>
      </c>
      <c r="J11" s="30">
        <f t="shared" si="2"/>
        <v>341.3125</v>
      </c>
      <c r="K11" s="30">
        <f t="shared" si="3"/>
        <v>195.03571428571431</v>
      </c>
    </row>
    <row r="12" spans="1:11" hidden="1" x14ac:dyDescent="0.35">
      <c r="A12" t="s">
        <v>55</v>
      </c>
      <c r="B12" t="s">
        <v>10</v>
      </c>
      <c r="C12" t="s">
        <v>76</v>
      </c>
      <c r="D12" t="str">
        <f t="shared" si="0"/>
        <v>861f05bb7ffffff0_250</v>
      </c>
      <c r="E12">
        <v>0</v>
      </c>
      <c r="F12">
        <v>5461000000</v>
      </c>
      <c r="G12">
        <v>16</v>
      </c>
      <c r="H12">
        <v>4</v>
      </c>
      <c r="I12">
        <f t="shared" si="1"/>
        <v>28</v>
      </c>
      <c r="J12" s="30">
        <v>341.3125</v>
      </c>
      <c r="K12" s="30">
        <f t="shared" si="3"/>
        <v>195.03571428571431</v>
      </c>
    </row>
    <row r="13" spans="1:11" x14ac:dyDescent="0.35">
      <c r="A13" t="s">
        <v>56</v>
      </c>
      <c r="B13" t="s">
        <v>26</v>
      </c>
      <c r="C13" t="s">
        <v>44</v>
      </c>
      <c r="D13" t="str">
        <f t="shared" si="0"/>
        <v>861f00d57ffffff0_250</v>
      </c>
      <c r="E13">
        <v>0</v>
      </c>
      <c r="F13">
        <v>6410000000</v>
      </c>
      <c r="G13">
        <v>19</v>
      </c>
      <c r="H13">
        <v>5</v>
      </c>
      <c r="I13">
        <f t="shared" si="1"/>
        <v>35</v>
      </c>
      <c r="J13" s="30">
        <f t="shared" si="2"/>
        <v>337.36842105263156</v>
      </c>
      <c r="K13" s="30">
        <f t="shared" si="3"/>
        <v>183.14285714285714</v>
      </c>
    </row>
    <row r="14" spans="1:11" hidden="1" x14ac:dyDescent="0.35">
      <c r="A14" t="s">
        <v>56</v>
      </c>
      <c r="B14" t="s">
        <v>26</v>
      </c>
      <c r="C14" t="s">
        <v>45</v>
      </c>
      <c r="D14" t="str">
        <f t="shared" si="0"/>
        <v>861f00c27ffffff0_250</v>
      </c>
      <c r="E14">
        <v>0</v>
      </c>
      <c r="F14">
        <v>6410000000</v>
      </c>
      <c r="G14">
        <v>19</v>
      </c>
      <c r="H14">
        <v>5</v>
      </c>
      <c r="I14">
        <f t="shared" si="1"/>
        <v>35</v>
      </c>
      <c r="J14" s="30">
        <f t="shared" si="2"/>
        <v>337.36842105263156</v>
      </c>
      <c r="K14" s="30">
        <f t="shared" si="3"/>
        <v>183.14285714285714</v>
      </c>
    </row>
    <row r="15" spans="1:11" hidden="1" x14ac:dyDescent="0.35">
      <c r="A15" t="s">
        <v>56</v>
      </c>
      <c r="B15" t="s">
        <v>5</v>
      </c>
      <c r="C15" t="s">
        <v>46</v>
      </c>
      <c r="D15" t="str">
        <f t="shared" si="0"/>
        <v>861f00c37ffffff0_250</v>
      </c>
      <c r="E15">
        <v>0</v>
      </c>
      <c r="F15">
        <v>6410000000</v>
      </c>
      <c r="G15">
        <v>19</v>
      </c>
      <c r="H15">
        <v>5</v>
      </c>
      <c r="I15">
        <f t="shared" si="1"/>
        <v>35</v>
      </c>
      <c r="J15" s="30">
        <f t="shared" si="2"/>
        <v>337.36842105263156</v>
      </c>
      <c r="K15" s="30">
        <f t="shared" si="3"/>
        <v>183.14285714285714</v>
      </c>
    </row>
    <row r="16" spans="1:11" hidden="1" x14ac:dyDescent="0.35">
      <c r="A16" t="s">
        <v>56</v>
      </c>
      <c r="B16" t="s">
        <v>5</v>
      </c>
      <c r="C16" t="s">
        <v>77</v>
      </c>
      <c r="D16" t="str">
        <f t="shared" si="0"/>
        <v>861f0634fffffff0_250</v>
      </c>
      <c r="E16">
        <v>0</v>
      </c>
      <c r="F16">
        <v>6410000000</v>
      </c>
      <c r="G16">
        <v>19</v>
      </c>
      <c r="H16">
        <v>5</v>
      </c>
      <c r="I16">
        <f t="shared" si="1"/>
        <v>35</v>
      </c>
      <c r="J16" s="30">
        <f t="shared" si="2"/>
        <v>337.36842105263156</v>
      </c>
      <c r="K16" s="30">
        <f t="shared" si="3"/>
        <v>183.14285714285714</v>
      </c>
    </row>
    <row r="17" spans="1:11" x14ac:dyDescent="0.35">
      <c r="A17" t="s">
        <v>57</v>
      </c>
      <c r="B17" t="s">
        <v>26</v>
      </c>
      <c r="C17" t="s">
        <v>47</v>
      </c>
      <c r="D17" t="str">
        <f t="shared" si="0"/>
        <v>861f224cfffffff0_250</v>
      </c>
      <c r="E17">
        <v>0</v>
      </c>
      <c r="F17">
        <v>1977000000</v>
      </c>
      <c r="G17">
        <v>1.7</v>
      </c>
      <c r="H17">
        <v>2</v>
      </c>
      <c r="I17">
        <f t="shared" si="1"/>
        <v>14</v>
      </c>
      <c r="J17" s="30">
        <f t="shared" si="2"/>
        <v>1162.9411764705883</v>
      </c>
      <c r="K17" s="30">
        <f t="shared" si="3"/>
        <v>141.21428571428569</v>
      </c>
    </row>
    <row r="18" spans="1:11" x14ac:dyDescent="0.35">
      <c r="A18" t="s">
        <v>104</v>
      </c>
      <c r="B18" t="s">
        <v>26</v>
      </c>
      <c r="C18" t="s">
        <v>48</v>
      </c>
      <c r="D18" t="str">
        <f t="shared" si="0"/>
        <v>861f04107ffffff0_250</v>
      </c>
      <c r="E18">
        <v>0</v>
      </c>
      <c r="F18">
        <v>5060000000</v>
      </c>
      <c r="G18">
        <v>6.79</v>
      </c>
      <c r="H18">
        <v>5</v>
      </c>
      <c r="I18">
        <f t="shared" si="1"/>
        <v>35</v>
      </c>
      <c r="J18" s="30">
        <f t="shared" si="2"/>
        <v>745.2135493372607</v>
      </c>
      <c r="K18" s="30">
        <f t="shared" si="3"/>
        <v>144.57142857142856</v>
      </c>
    </row>
    <row r="19" spans="1:11" hidden="1" x14ac:dyDescent="0.35">
      <c r="A19" t="s">
        <v>104</v>
      </c>
      <c r="B19" t="s">
        <v>26</v>
      </c>
      <c r="C19" t="s">
        <v>49</v>
      </c>
      <c r="D19" t="str">
        <f t="shared" si="0"/>
        <v>861f0410fffffff0_250</v>
      </c>
      <c r="E19">
        <v>0</v>
      </c>
      <c r="F19">
        <v>5060000000</v>
      </c>
      <c r="G19">
        <v>6.79</v>
      </c>
      <c r="H19">
        <v>5</v>
      </c>
      <c r="I19">
        <f t="shared" si="1"/>
        <v>35</v>
      </c>
      <c r="J19" s="30">
        <f t="shared" si="2"/>
        <v>745.2135493372607</v>
      </c>
      <c r="K19" s="30">
        <f t="shared" si="3"/>
        <v>144.57142857142856</v>
      </c>
    </row>
    <row r="20" spans="1:11" hidden="1" x14ac:dyDescent="0.35">
      <c r="A20" t="s">
        <v>104</v>
      </c>
      <c r="B20" t="s">
        <v>26</v>
      </c>
      <c r="C20" t="s">
        <v>50</v>
      </c>
      <c r="D20" t="str">
        <f t="shared" si="0"/>
        <v>861f04177ffffff0_250</v>
      </c>
      <c r="E20">
        <v>0</v>
      </c>
      <c r="F20">
        <v>5060000000</v>
      </c>
      <c r="G20">
        <v>6.79</v>
      </c>
      <c r="H20">
        <v>5</v>
      </c>
      <c r="I20">
        <f t="shared" si="1"/>
        <v>35</v>
      </c>
      <c r="J20" s="30">
        <f t="shared" si="2"/>
        <v>745.2135493372607</v>
      </c>
      <c r="K20" s="30">
        <f t="shared" si="3"/>
        <v>144.57142857142856</v>
      </c>
    </row>
    <row r="21" spans="1:11" hidden="1" x14ac:dyDescent="0.35">
      <c r="A21" t="s">
        <v>104</v>
      </c>
      <c r="B21" t="s">
        <v>26</v>
      </c>
      <c r="C21" t="s">
        <v>51</v>
      </c>
      <c r="D21" t="str">
        <f t="shared" si="0"/>
        <v>861f04147ffffff0_250</v>
      </c>
      <c r="E21">
        <v>0</v>
      </c>
      <c r="F21">
        <v>5060000000</v>
      </c>
      <c r="G21">
        <v>6.79</v>
      </c>
      <c r="H21">
        <v>5</v>
      </c>
      <c r="I21">
        <f t="shared" si="1"/>
        <v>35</v>
      </c>
      <c r="J21" s="30">
        <f t="shared" si="2"/>
        <v>745.2135493372607</v>
      </c>
      <c r="K21" s="30">
        <f t="shared" si="3"/>
        <v>144.57142857142856</v>
      </c>
    </row>
    <row r="22" spans="1:11" x14ac:dyDescent="0.35">
      <c r="A22" t="s">
        <v>79</v>
      </c>
      <c r="B22" t="s">
        <v>26</v>
      </c>
      <c r="C22" t="s">
        <v>78</v>
      </c>
      <c r="D22" t="str">
        <f t="shared" si="0"/>
        <v>861f00967ffffff0_250</v>
      </c>
      <c r="E22">
        <v>0</v>
      </c>
      <c r="F22">
        <f>F17*2</f>
        <v>3954000000</v>
      </c>
      <c r="G22">
        <v>3.2</v>
      </c>
      <c r="H22">
        <v>2</v>
      </c>
      <c r="I22">
        <f t="shared" si="1"/>
        <v>14</v>
      </c>
      <c r="J22" s="30">
        <f t="shared" si="2"/>
        <v>1235.625</v>
      </c>
      <c r="K22" s="30">
        <f t="shared" si="3"/>
        <v>282.42857142857139</v>
      </c>
    </row>
    <row r="23" spans="1:11" x14ac:dyDescent="0.35">
      <c r="A23" t="s">
        <v>87</v>
      </c>
      <c r="B23" t="s">
        <v>15</v>
      </c>
      <c r="C23" s="31" t="s">
        <v>88</v>
      </c>
      <c r="D23" t="str">
        <f t="shared" si="0"/>
        <v>86089b1afffffff0_250</v>
      </c>
      <c r="E23">
        <v>0</v>
      </c>
      <c r="F23">
        <v>15000000000</v>
      </c>
      <c r="G23">
        <v>100</v>
      </c>
      <c r="H23">
        <v>15</v>
      </c>
      <c r="I23">
        <f t="shared" si="1"/>
        <v>105</v>
      </c>
      <c r="J23" s="30">
        <f t="shared" ref="J23:J36" si="4">(F23/G23)/1000000</f>
        <v>150</v>
      </c>
      <c r="K23" s="30">
        <f t="shared" si="3"/>
        <v>142.85714285714286</v>
      </c>
    </row>
    <row r="24" spans="1:11" hidden="1" x14ac:dyDescent="0.35">
      <c r="A24" t="s">
        <v>87</v>
      </c>
      <c r="B24" t="s">
        <v>15</v>
      </c>
      <c r="C24" s="31" t="s">
        <v>89</v>
      </c>
      <c r="D24" t="str">
        <f t="shared" si="0"/>
        <v>86089b11fffffff0_250</v>
      </c>
      <c r="E24">
        <v>0</v>
      </c>
      <c r="F24">
        <v>15000000000</v>
      </c>
      <c r="G24">
        <v>100</v>
      </c>
      <c r="H24">
        <v>15</v>
      </c>
      <c r="I24">
        <f t="shared" si="1"/>
        <v>105</v>
      </c>
      <c r="J24" s="30">
        <f t="shared" si="4"/>
        <v>150</v>
      </c>
      <c r="K24" s="30">
        <f t="shared" si="3"/>
        <v>142.85714285714286</v>
      </c>
    </row>
    <row r="25" spans="1:11" hidden="1" x14ac:dyDescent="0.35">
      <c r="A25" t="s">
        <v>87</v>
      </c>
      <c r="B25" t="s">
        <v>15</v>
      </c>
      <c r="C25" s="31" t="s">
        <v>90</v>
      </c>
      <c r="D25" t="str">
        <f t="shared" si="0"/>
        <v>86089b10fffffff0_250</v>
      </c>
      <c r="E25">
        <v>0</v>
      </c>
      <c r="F25">
        <v>15000000000</v>
      </c>
      <c r="G25">
        <v>100</v>
      </c>
      <c r="H25">
        <v>15</v>
      </c>
      <c r="I25">
        <f t="shared" si="1"/>
        <v>105</v>
      </c>
      <c r="J25" s="30">
        <f t="shared" si="4"/>
        <v>150</v>
      </c>
      <c r="K25" s="30">
        <f t="shared" si="3"/>
        <v>142.85714285714286</v>
      </c>
    </row>
    <row r="26" spans="1:11" hidden="1" x14ac:dyDescent="0.35">
      <c r="A26" t="s">
        <v>87</v>
      </c>
      <c r="B26" t="s">
        <v>15</v>
      </c>
      <c r="C26" s="31" t="s">
        <v>91</v>
      </c>
      <c r="D26" t="str">
        <f t="shared" si="0"/>
        <v>86089b177ffffff0_250</v>
      </c>
      <c r="E26">
        <v>0</v>
      </c>
      <c r="F26">
        <v>15000000000</v>
      </c>
      <c r="G26">
        <v>100</v>
      </c>
      <c r="H26">
        <v>15</v>
      </c>
      <c r="I26">
        <f t="shared" si="1"/>
        <v>105</v>
      </c>
      <c r="J26" s="30">
        <f t="shared" si="4"/>
        <v>150</v>
      </c>
      <c r="K26" s="30">
        <f t="shared" si="3"/>
        <v>142.85714285714286</v>
      </c>
    </row>
    <row r="27" spans="1:11" hidden="1" x14ac:dyDescent="0.35">
      <c r="A27" t="s">
        <v>87</v>
      </c>
      <c r="B27" t="s">
        <v>15</v>
      </c>
      <c r="C27" s="31" t="s">
        <v>92</v>
      </c>
      <c r="D27" t="str">
        <f t="shared" si="0"/>
        <v>86089b167ffffff0_250</v>
      </c>
      <c r="E27">
        <v>0</v>
      </c>
      <c r="F27">
        <v>15000000000</v>
      </c>
      <c r="G27">
        <v>100</v>
      </c>
      <c r="H27">
        <v>15</v>
      </c>
      <c r="I27">
        <f t="shared" si="1"/>
        <v>105</v>
      </c>
      <c r="J27" s="30">
        <f t="shared" si="4"/>
        <v>150</v>
      </c>
      <c r="K27" s="30">
        <f t="shared" si="3"/>
        <v>142.85714285714286</v>
      </c>
    </row>
    <row r="28" spans="1:11" hidden="1" x14ac:dyDescent="0.35">
      <c r="A28" t="s">
        <v>87</v>
      </c>
      <c r="B28" t="s">
        <v>15</v>
      </c>
      <c r="C28" s="31" t="s">
        <v>93</v>
      </c>
      <c r="D28" t="str">
        <f t="shared" si="0"/>
        <v>86089bb97ffffff0_250</v>
      </c>
      <c r="E28">
        <v>0</v>
      </c>
      <c r="F28">
        <v>15000000000</v>
      </c>
      <c r="G28">
        <v>100</v>
      </c>
      <c r="H28">
        <v>15</v>
      </c>
      <c r="I28">
        <f t="shared" si="1"/>
        <v>105</v>
      </c>
      <c r="J28" s="30">
        <f t="shared" si="4"/>
        <v>150</v>
      </c>
      <c r="K28" s="30">
        <f t="shared" si="3"/>
        <v>142.85714285714286</v>
      </c>
    </row>
    <row r="29" spans="1:11" hidden="1" x14ac:dyDescent="0.35">
      <c r="A29" t="s">
        <v>87</v>
      </c>
      <c r="B29" t="s">
        <v>15</v>
      </c>
      <c r="C29" s="31" t="s">
        <v>94</v>
      </c>
      <c r="D29" t="str">
        <f t="shared" si="0"/>
        <v>86089bb87ffffff0_250</v>
      </c>
      <c r="E29">
        <v>0</v>
      </c>
      <c r="F29">
        <v>15000000000</v>
      </c>
      <c r="G29">
        <v>100</v>
      </c>
      <c r="H29">
        <v>15</v>
      </c>
      <c r="I29">
        <f t="shared" si="1"/>
        <v>105</v>
      </c>
      <c r="J29" s="30">
        <f t="shared" si="4"/>
        <v>150</v>
      </c>
      <c r="K29" s="30">
        <f t="shared" si="3"/>
        <v>142.85714285714286</v>
      </c>
    </row>
    <row r="30" spans="1:11" hidden="1" x14ac:dyDescent="0.35">
      <c r="A30" t="s">
        <v>87</v>
      </c>
      <c r="B30" t="s">
        <v>28</v>
      </c>
      <c r="C30" s="31" t="s">
        <v>95</v>
      </c>
      <c r="D30" t="str">
        <f t="shared" si="0"/>
        <v>86089bbafffffff0_250</v>
      </c>
      <c r="E30">
        <v>0</v>
      </c>
      <c r="F30">
        <v>15000000000</v>
      </c>
      <c r="G30">
        <v>100</v>
      </c>
      <c r="H30">
        <v>15</v>
      </c>
      <c r="I30">
        <f t="shared" si="1"/>
        <v>105</v>
      </c>
      <c r="J30" s="30">
        <f t="shared" si="4"/>
        <v>150</v>
      </c>
      <c r="K30" s="30">
        <f t="shared" si="3"/>
        <v>142.85714285714286</v>
      </c>
    </row>
    <row r="31" spans="1:11" hidden="1" x14ac:dyDescent="0.35">
      <c r="A31" t="s">
        <v>87</v>
      </c>
      <c r="B31" t="s">
        <v>28</v>
      </c>
      <c r="C31" s="31" t="s">
        <v>96</v>
      </c>
      <c r="D31" t="str">
        <f t="shared" si="0"/>
        <v>86089bb1fffffff0_250</v>
      </c>
      <c r="E31">
        <v>0</v>
      </c>
      <c r="F31">
        <v>15000000000</v>
      </c>
      <c r="G31">
        <v>100</v>
      </c>
      <c r="H31">
        <v>15</v>
      </c>
      <c r="I31">
        <f t="shared" si="1"/>
        <v>105</v>
      </c>
      <c r="J31" s="30">
        <f t="shared" si="4"/>
        <v>150</v>
      </c>
      <c r="K31" s="30">
        <f t="shared" si="3"/>
        <v>142.85714285714286</v>
      </c>
    </row>
    <row r="32" spans="1:11" hidden="1" x14ac:dyDescent="0.35">
      <c r="A32" t="s">
        <v>87</v>
      </c>
      <c r="B32" t="s">
        <v>28</v>
      </c>
      <c r="C32" s="31" t="s">
        <v>97</v>
      </c>
      <c r="D32" t="str">
        <f t="shared" si="0"/>
        <v>86089ba27ffffff0_250</v>
      </c>
      <c r="E32">
        <v>0</v>
      </c>
      <c r="F32">
        <v>15000000000</v>
      </c>
      <c r="G32">
        <v>100</v>
      </c>
      <c r="H32">
        <v>15</v>
      </c>
      <c r="I32">
        <f t="shared" si="1"/>
        <v>105</v>
      </c>
      <c r="J32" s="30">
        <f t="shared" si="4"/>
        <v>150</v>
      </c>
      <c r="K32" s="30">
        <f t="shared" si="3"/>
        <v>142.85714285714286</v>
      </c>
    </row>
    <row r="33" spans="1:11" hidden="1" x14ac:dyDescent="0.35">
      <c r="A33" t="s">
        <v>87</v>
      </c>
      <c r="B33" t="s">
        <v>28</v>
      </c>
      <c r="C33" s="31" t="s">
        <v>98</v>
      </c>
      <c r="D33" t="str">
        <f t="shared" si="0"/>
        <v>86089ba2fffffff0_250</v>
      </c>
      <c r="E33">
        <v>0</v>
      </c>
      <c r="F33">
        <v>15000000000</v>
      </c>
      <c r="G33">
        <v>100</v>
      </c>
      <c r="H33">
        <v>15</v>
      </c>
      <c r="I33">
        <f t="shared" si="1"/>
        <v>105</v>
      </c>
      <c r="J33" s="30">
        <f t="shared" si="4"/>
        <v>150</v>
      </c>
      <c r="K33" s="30">
        <f t="shared" si="3"/>
        <v>142.85714285714286</v>
      </c>
    </row>
    <row r="34" spans="1:11" hidden="1" x14ac:dyDescent="0.35">
      <c r="A34" t="s">
        <v>87</v>
      </c>
      <c r="B34" t="s">
        <v>28</v>
      </c>
      <c r="C34" s="31" t="s">
        <v>99</v>
      </c>
      <c r="D34" t="str">
        <f t="shared" si="0"/>
        <v>86089ba77ffffff0_250</v>
      </c>
      <c r="E34">
        <v>0</v>
      </c>
      <c r="F34">
        <v>15000000000</v>
      </c>
      <c r="G34">
        <v>100</v>
      </c>
      <c r="H34">
        <v>15</v>
      </c>
      <c r="I34">
        <f t="shared" si="1"/>
        <v>105</v>
      </c>
      <c r="J34" s="30">
        <f t="shared" si="4"/>
        <v>150</v>
      </c>
      <c r="K34" s="30">
        <f t="shared" si="3"/>
        <v>142.85714285714286</v>
      </c>
    </row>
    <row r="35" spans="1:11" hidden="1" x14ac:dyDescent="0.35">
      <c r="A35" t="s">
        <v>87</v>
      </c>
      <c r="B35" t="s">
        <v>28</v>
      </c>
      <c r="C35" s="31" t="s">
        <v>100</v>
      </c>
      <c r="D35" t="str">
        <f t="shared" si="0"/>
        <v>86089ba47ffffff0_250</v>
      </c>
      <c r="E35">
        <v>0</v>
      </c>
      <c r="F35">
        <v>15000000000</v>
      </c>
      <c r="G35">
        <v>100</v>
      </c>
      <c r="H35">
        <v>15</v>
      </c>
      <c r="I35">
        <f t="shared" si="1"/>
        <v>105</v>
      </c>
      <c r="J35" s="30">
        <f t="shared" si="4"/>
        <v>150</v>
      </c>
      <c r="K35" s="30">
        <f t="shared" si="3"/>
        <v>142.85714285714286</v>
      </c>
    </row>
    <row r="36" spans="1:11" hidden="1" x14ac:dyDescent="0.35">
      <c r="A36" t="s">
        <v>87</v>
      </c>
      <c r="B36" t="s">
        <v>28</v>
      </c>
      <c r="C36" s="31" t="s">
        <v>101</v>
      </c>
      <c r="D36" t="str">
        <f t="shared" si="0"/>
        <v>86089ba4fffffff0_250</v>
      </c>
      <c r="E36">
        <v>0</v>
      </c>
      <c r="F36">
        <v>15000000000</v>
      </c>
      <c r="G36">
        <v>100</v>
      </c>
      <c r="H36">
        <v>15</v>
      </c>
      <c r="I36">
        <f t="shared" si="1"/>
        <v>105</v>
      </c>
      <c r="J36" s="30">
        <f t="shared" si="4"/>
        <v>150</v>
      </c>
      <c r="K36" s="30">
        <f t="shared" si="3"/>
        <v>142.85714285714286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885CF-7CFC-4EB5-9AC1-83C6F06AD116}">
  <dimension ref="A1:X31"/>
  <sheetViews>
    <sheetView zoomScale="80" zoomScaleNormal="80" workbookViewId="0">
      <selection activeCell="K5" sqref="K5"/>
    </sheetView>
  </sheetViews>
  <sheetFormatPr defaultRowHeight="14.5" x14ac:dyDescent="0.35"/>
  <cols>
    <col min="1" max="1" width="13.54296875" bestFit="1" customWidth="1"/>
    <col min="2" max="2" width="17.08984375" bestFit="1" customWidth="1"/>
    <col min="3" max="3" width="9.08984375" bestFit="1" customWidth="1"/>
    <col min="4" max="4" width="10.54296875" bestFit="1" customWidth="1"/>
    <col min="5" max="5" width="12.90625" customWidth="1"/>
    <col min="6" max="6" width="10.36328125" customWidth="1"/>
    <col min="7" max="7" width="7" customWidth="1"/>
    <col min="8" max="8" width="9.1796875" customWidth="1"/>
    <col min="9" max="9" width="9.81640625" customWidth="1"/>
    <col min="10" max="11" width="15.81640625" style="7" customWidth="1"/>
    <col min="12" max="12" width="10.453125" customWidth="1"/>
    <col min="13" max="13" width="16.453125" customWidth="1"/>
    <col min="14" max="14" width="10.08984375" customWidth="1"/>
    <col min="19" max="19" width="21.90625" customWidth="1"/>
    <col min="20" max="22" width="4" bestFit="1" customWidth="1"/>
    <col min="23" max="23" width="3" bestFit="1" customWidth="1"/>
    <col min="24" max="24" width="4" bestFit="1" customWidth="1"/>
    <col min="25" max="25" width="10.54296875" customWidth="1"/>
  </cols>
  <sheetData>
    <row r="1" spans="1:24" s="60" customFormat="1" ht="28.75" customHeight="1" thickBot="1" x14ac:dyDescent="0.4">
      <c r="A1" s="56" t="s">
        <v>0</v>
      </c>
      <c r="B1" s="57" t="s">
        <v>61</v>
      </c>
      <c r="C1" s="58" t="s">
        <v>60</v>
      </c>
      <c r="D1" s="58" t="s">
        <v>111</v>
      </c>
      <c r="E1" s="59" t="s">
        <v>63</v>
      </c>
      <c r="F1" s="57" t="s">
        <v>64</v>
      </c>
      <c r="G1" s="58" t="s">
        <v>65</v>
      </c>
      <c r="H1" s="58" t="s">
        <v>112</v>
      </c>
      <c r="I1" s="59" t="s">
        <v>66</v>
      </c>
      <c r="J1" s="56" t="s">
        <v>67</v>
      </c>
      <c r="L1" s="6"/>
      <c r="M1" s="58" t="s">
        <v>113</v>
      </c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s="60" customFormat="1" ht="28.75" customHeight="1" thickBot="1" x14ac:dyDescent="0.4">
      <c r="A2" s="61"/>
      <c r="B2" s="61"/>
      <c r="C2" s="61"/>
      <c r="D2" s="61"/>
      <c r="E2" s="61"/>
      <c r="L2" s="6"/>
      <c r="M2" s="62">
        <f>MAX(I4:I31)</f>
        <v>2.0231557599954564</v>
      </c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x14ac:dyDescent="0.35">
      <c r="A3" s="11" t="s">
        <v>62</v>
      </c>
      <c r="B3" s="50">
        <f>'[1]Sheet 1'!$B$10</f>
        <v>109</v>
      </c>
      <c r="C3" s="51">
        <f>[2]PLI!$B$2</f>
        <v>100</v>
      </c>
      <c r="D3" s="54">
        <v>625627.82857142854</v>
      </c>
      <c r="E3" s="49">
        <f>[3]Foglio1!$B$2</f>
        <v>44.830695659770818</v>
      </c>
      <c r="J3" s="7" t="s">
        <v>114</v>
      </c>
      <c r="K3" s="7" t="s">
        <v>115</v>
      </c>
      <c r="M3" s="33">
        <f>MIN(I4:I31)</f>
        <v>0</v>
      </c>
    </row>
    <row r="4" spans="1:24" x14ac:dyDescent="0.35">
      <c r="A4" s="12" t="s">
        <v>20</v>
      </c>
      <c r="B4" s="52">
        <f>'[1]Sheet 1'!$B$11</f>
        <v>107.6</v>
      </c>
      <c r="C4" s="34">
        <f>'[4]Sheet 1'!$B16</f>
        <v>113.3</v>
      </c>
      <c r="D4" s="55">
        <v>397169.5</v>
      </c>
      <c r="E4" s="35">
        <f>[3]Foglio1!$B$3</f>
        <v>89.485561559463136</v>
      </c>
      <c r="F4" s="39">
        <f>B4/$B$3</f>
        <v>0.98715596330275224</v>
      </c>
      <c r="G4" s="40">
        <f>C4/$C$3</f>
        <v>1.133</v>
      </c>
      <c r="H4" s="40">
        <f>D4/$D$3</f>
        <v>0.63483349343155815</v>
      </c>
      <c r="I4" s="41">
        <f t="shared" ref="I4:I30" si="0">E4/$E$3</f>
        <v>1.9960779158678932</v>
      </c>
      <c r="J4" s="20">
        <f>AVERAGE(F4,G4,I4)</f>
        <v>1.3720779597235484</v>
      </c>
      <c r="K4" s="20">
        <f>AVERAGE(F4:I4)</f>
        <v>1.187766843150551</v>
      </c>
      <c r="L4" s="9">
        <f>SQRT(F4*G4*H4*M4)</f>
        <v>1.1876670994961025</v>
      </c>
      <c r="M4" s="40">
        <f>((I4-0)/M2)+1</f>
        <v>1.9866160358668461</v>
      </c>
    </row>
    <row r="5" spans="1:24" x14ac:dyDescent="0.35">
      <c r="A5" s="13" t="s">
        <v>19</v>
      </c>
      <c r="B5" s="47">
        <f>'[1]Sheet 1'!$B$12</f>
        <v>377.3</v>
      </c>
      <c r="C5" s="32">
        <f>'[4]Sheet 1'!$B17</f>
        <v>114.9</v>
      </c>
      <c r="D5" s="30">
        <v>478676.1</v>
      </c>
      <c r="E5" s="36">
        <f>[3]Foglio1!$B$4</f>
        <v>1.9060648608224504</v>
      </c>
      <c r="F5" s="42">
        <f t="shared" ref="F5:F31" si="1">B5/$B$3</f>
        <v>3.4614678899082572</v>
      </c>
      <c r="G5" s="33">
        <f t="shared" ref="G5:G31" si="2">C5/$C$3</f>
        <v>1.149</v>
      </c>
      <c r="H5" s="33">
        <f t="shared" ref="H5:H31" si="3">D5/$D$3</f>
        <v>0.7651131841322002</v>
      </c>
      <c r="I5" s="43">
        <f t="shared" si="0"/>
        <v>4.2516959256844032E-2</v>
      </c>
      <c r="J5" s="20">
        <f>AVERAGE(F5,G5,I5)</f>
        <v>1.5509949497217004</v>
      </c>
      <c r="K5" s="20">
        <f t="shared" ref="K5:K31" si="4">AVERAGE(F5:I5)</f>
        <v>1.3545245083243254</v>
      </c>
      <c r="L5" s="9">
        <f t="shared" ref="L5:L31" si="5">SQRT(F5*G5*H5*M5)</f>
        <v>1.7626622674734225</v>
      </c>
      <c r="M5" s="33">
        <f t="shared" ref="M5:M31" si="6">((I5-0)/$M$2)+1</f>
        <v>1.0210151685290605</v>
      </c>
    </row>
    <row r="6" spans="1:24" x14ac:dyDescent="0.35">
      <c r="A6" s="13" t="s">
        <v>12</v>
      </c>
      <c r="B6" s="47">
        <f>'[1]Sheet 1'!$B$13</f>
        <v>63.4</v>
      </c>
      <c r="C6" s="32">
        <f>'[4]Sheet 1'!$B18</f>
        <v>53.6</v>
      </c>
      <c r="D6" s="30">
        <v>61558.5</v>
      </c>
      <c r="E6" s="36">
        <f>[3]Foglio1!$B$5</f>
        <v>84.23881743098147</v>
      </c>
      <c r="F6" s="42">
        <f t="shared" si="1"/>
        <v>0.58165137614678897</v>
      </c>
      <c r="G6" s="33">
        <f t="shared" si="2"/>
        <v>0.53600000000000003</v>
      </c>
      <c r="H6" s="33">
        <f t="shared" si="3"/>
        <v>9.8394759933495834E-2</v>
      </c>
      <c r="I6" s="43">
        <f t="shared" si="0"/>
        <v>1.8790432803070207</v>
      </c>
      <c r="J6" s="20">
        <f>AVERAGE(F6,G6,I6)</f>
        <v>0.99889821881793661</v>
      </c>
      <c r="K6" s="20">
        <f t="shared" si="4"/>
        <v>0.77377235409682643</v>
      </c>
      <c r="L6" s="9">
        <f t="shared" si="5"/>
        <v>0.24324269640903212</v>
      </c>
      <c r="M6" s="33">
        <f t="shared" si="6"/>
        <v>1.9287684702591761</v>
      </c>
    </row>
    <row r="7" spans="1:24" x14ac:dyDescent="0.35">
      <c r="A7" s="13" t="s">
        <v>21</v>
      </c>
      <c r="B7" s="47">
        <f>'[1]Sheet 1'!$B$14</f>
        <v>72.8</v>
      </c>
      <c r="C7" s="32">
        <f>'[4]Sheet 1'!$B19</f>
        <v>71.3</v>
      </c>
      <c r="D7" s="30">
        <v>55644.4</v>
      </c>
      <c r="E7" s="36">
        <f>[3]Foglio1!$B$6</f>
        <v>50</v>
      </c>
      <c r="F7" s="42">
        <f t="shared" si="1"/>
        <v>0.66788990825688066</v>
      </c>
      <c r="G7" s="33">
        <f t="shared" si="2"/>
        <v>0.71299999999999997</v>
      </c>
      <c r="H7" s="33">
        <f t="shared" si="3"/>
        <v>8.8941695779517299E-2</v>
      </c>
      <c r="I7" s="43">
        <f t="shared" si="0"/>
        <v>1.1153072524116081</v>
      </c>
      <c r="J7" s="20">
        <f>AVERAGE(F7,G7,I7)</f>
        <v>0.83206572022282954</v>
      </c>
      <c r="K7" s="20">
        <f t="shared" si="4"/>
        <v>0.6462847141120015</v>
      </c>
      <c r="L7" s="9">
        <f t="shared" si="5"/>
        <v>0.25632664657795168</v>
      </c>
      <c r="M7" s="33">
        <f t="shared" si="6"/>
        <v>1.5512710758434698</v>
      </c>
    </row>
    <row r="8" spans="1:24" x14ac:dyDescent="0.35">
      <c r="A8" s="13" t="s">
        <v>16</v>
      </c>
      <c r="B8" s="47">
        <f>'[1]Sheet 1'!$B$15</f>
        <v>138.19999999999999</v>
      </c>
      <c r="C8" s="32">
        <f>'[4]Sheet 1'!$B20</f>
        <v>75.099999999999994</v>
      </c>
      <c r="D8" s="30">
        <v>225613.5</v>
      </c>
      <c r="E8" s="36">
        <f>[3]Foglio1!$B$7</f>
        <v>68.823564591244931</v>
      </c>
      <c r="F8" s="42">
        <f t="shared" si="1"/>
        <v>1.2678899082568806</v>
      </c>
      <c r="G8" s="33">
        <f t="shared" si="2"/>
        <v>0.75099999999999989</v>
      </c>
      <c r="H8" s="33">
        <f t="shared" si="3"/>
        <v>0.36061934859127109</v>
      </c>
      <c r="I8" s="43">
        <f t="shared" si="0"/>
        <v>1.5351884145086847</v>
      </c>
      <c r="J8" s="20">
        <f>AVERAGE(F8,G8,I8)</f>
        <v>1.1846927742551883</v>
      </c>
      <c r="K8" s="20">
        <f t="shared" si="4"/>
        <v>0.97867441783920905</v>
      </c>
      <c r="L8" s="9">
        <f t="shared" si="5"/>
        <v>0.77713160133089587</v>
      </c>
      <c r="M8" s="33">
        <f t="shared" si="6"/>
        <v>1.7588088099119628</v>
      </c>
    </row>
    <row r="9" spans="1:24" x14ac:dyDescent="0.35">
      <c r="A9" s="13" t="s">
        <v>26</v>
      </c>
      <c r="B9" s="47">
        <f>'[1]Sheet 1'!$B$16</f>
        <v>138.5</v>
      </c>
      <c r="C9" s="32">
        <f>'[4]Sheet 1'!$B21</f>
        <v>143.5</v>
      </c>
      <c r="D9" s="30">
        <v>309526.40000000002</v>
      </c>
      <c r="E9" s="36">
        <f>[3]Foglio1!$B$8</f>
        <v>0</v>
      </c>
      <c r="F9" s="42">
        <f t="shared" si="1"/>
        <v>1.2706422018348624</v>
      </c>
      <c r="G9" s="33">
        <f t="shared" si="2"/>
        <v>1.4350000000000001</v>
      </c>
      <c r="H9" s="33">
        <f t="shared" si="3"/>
        <v>0.49474525566866001</v>
      </c>
      <c r="I9" s="43">
        <f t="shared" si="0"/>
        <v>0</v>
      </c>
      <c r="J9" s="20">
        <f>AVERAGE(F9,G9)</f>
        <v>1.3528211009174314</v>
      </c>
      <c r="K9" s="20">
        <f t="shared" si="4"/>
        <v>0.80009686437588068</v>
      </c>
      <c r="L9" s="9">
        <f t="shared" si="5"/>
        <v>0.94979178162879763</v>
      </c>
      <c r="M9" s="33">
        <f t="shared" si="6"/>
        <v>1</v>
      </c>
    </row>
    <row r="10" spans="1:24" x14ac:dyDescent="0.35">
      <c r="A10" s="13" t="s">
        <v>28</v>
      </c>
      <c r="B10" s="47">
        <f>'[1]Sheet 1'!$B$17</f>
        <v>30.5</v>
      </c>
      <c r="C10" s="32">
        <f>'[4]Sheet 1'!$B22</f>
        <v>84.9</v>
      </c>
      <c r="D10" s="30">
        <v>27764.7</v>
      </c>
      <c r="E10" s="36">
        <f>[3]Foglio1!$B$9</f>
        <v>0</v>
      </c>
      <c r="F10" s="42">
        <f t="shared" si="1"/>
        <v>0.27981651376146788</v>
      </c>
      <c r="G10" s="33">
        <f t="shared" si="2"/>
        <v>0.84900000000000009</v>
      </c>
      <c r="H10" s="33">
        <f t="shared" si="3"/>
        <v>4.4378940213382914E-2</v>
      </c>
      <c r="I10" s="43">
        <f t="shared" si="0"/>
        <v>0</v>
      </c>
      <c r="J10" s="20">
        <f>AVERAGE(F10,G10)</f>
        <v>0.56440825688073404</v>
      </c>
      <c r="K10" s="20">
        <f t="shared" si="4"/>
        <v>0.29329886349371276</v>
      </c>
      <c r="L10" s="9">
        <f t="shared" si="5"/>
        <v>0.10267837320663914</v>
      </c>
      <c r="M10" s="33">
        <f t="shared" si="6"/>
        <v>1</v>
      </c>
    </row>
    <row r="11" spans="1:24" x14ac:dyDescent="0.35">
      <c r="A11" s="13" t="s">
        <v>15</v>
      </c>
      <c r="B11" s="47">
        <f>'[1]Sheet 1'!$B$18</f>
        <v>18.2</v>
      </c>
      <c r="C11" s="32">
        <f>'[4]Sheet 1'!$B23</f>
        <v>126.3</v>
      </c>
      <c r="D11" s="30">
        <v>239858</v>
      </c>
      <c r="E11" s="36">
        <f>[3]Foglio1!$B$10</f>
        <v>12.396384625279179</v>
      </c>
      <c r="F11" s="42">
        <f t="shared" si="1"/>
        <v>0.16697247706422016</v>
      </c>
      <c r="G11" s="33">
        <f t="shared" si="2"/>
        <v>1.2629999999999999</v>
      </c>
      <c r="H11" s="33">
        <f t="shared" si="3"/>
        <v>0.38338767721969258</v>
      </c>
      <c r="I11" s="43">
        <f t="shared" si="0"/>
        <v>0.2765155535251525</v>
      </c>
      <c r="J11" s="20">
        <f>AVERAGE(F11,G11,I11)</f>
        <v>0.56882934352979087</v>
      </c>
      <c r="K11" s="20">
        <f t="shared" si="4"/>
        <v>0.52246892695226632</v>
      </c>
      <c r="L11" s="9">
        <f t="shared" si="5"/>
        <v>0.30315268504871518</v>
      </c>
      <c r="M11" s="33">
        <f t="shared" si="6"/>
        <v>1.1366753657789421</v>
      </c>
    </row>
    <row r="12" spans="1:24" x14ac:dyDescent="0.35">
      <c r="A12" s="13" t="s">
        <v>3</v>
      </c>
      <c r="B12" s="47">
        <f>'[1]Sheet 1'!$B$19</f>
        <v>106.1</v>
      </c>
      <c r="C12" s="32">
        <f>'[4]Sheet 1'!$B24</f>
        <v>113.5</v>
      </c>
      <c r="D12" s="30">
        <v>2437635</v>
      </c>
      <c r="E12" s="36">
        <f>[3]Foglio1!$B$11</f>
        <v>56.423137915747887</v>
      </c>
      <c r="F12" s="42">
        <f>B12/$B$3</f>
        <v>0.97339449541284395</v>
      </c>
      <c r="G12" s="33">
        <f t="shared" si="2"/>
        <v>1.135</v>
      </c>
      <c r="H12" s="33">
        <f t="shared" si="3"/>
        <v>3.8963020643857003</v>
      </c>
      <c r="I12" s="43">
        <f t="shared" si="0"/>
        <v>1.2585826984250803</v>
      </c>
      <c r="J12" s="20">
        <f>AVERAGE(F12,G12,I12)</f>
        <v>1.122325731279308</v>
      </c>
      <c r="K12" s="20">
        <f t="shared" si="4"/>
        <v>1.8158198145559061</v>
      </c>
      <c r="L12" s="9">
        <f t="shared" si="5"/>
        <v>2.6424453028196475</v>
      </c>
      <c r="M12" s="33">
        <f t="shared" si="6"/>
        <v>1.6220888788255765</v>
      </c>
    </row>
    <row r="13" spans="1:24" x14ac:dyDescent="0.35">
      <c r="A13" s="13" t="s">
        <v>5</v>
      </c>
      <c r="B13" s="47">
        <f>'[1]Sheet 1'!$B$20</f>
        <v>235.2</v>
      </c>
      <c r="C13" s="32">
        <f>'[4]Sheet 1'!$B25</f>
        <v>107.1</v>
      </c>
      <c r="D13" s="30">
        <v>3473260</v>
      </c>
      <c r="E13" s="36">
        <f>[3]Foglio1!$B$12</f>
        <v>27.543889003309623</v>
      </c>
      <c r="F13" s="42">
        <f t="shared" si="1"/>
        <v>2.1577981651376144</v>
      </c>
      <c r="G13" s="33">
        <f t="shared" si="2"/>
        <v>1.071</v>
      </c>
      <c r="H13" s="33">
        <f t="shared" si="3"/>
        <v>5.5516392356313711</v>
      </c>
      <c r="I13" s="43">
        <f t="shared" si="0"/>
        <v>0.61439798330023132</v>
      </c>
      <c r="J13" s="20">
        <f>AVERAGE(F13,G13,I13)</f>
        <v>1.2810653828126151</v>
      </c>
      <c r="K13" s="20">
        <f t="shared" si="4"/>
        <v>2.348708846017304</v>
      </c>
      <c r="L13" s="9">
        <f t="shared" si="5"/>
        <v>4.0897500114809802</v>
      </c>
      <c r="M13" s="33">
        <f t="shared" si="6"/>
        <v>1.3036829864753523</v>
      </c>
    </row>
    <row r="14" spans="1:24" x14ac:dyDescent="0.35">
      <c r="A14" s="13" t="s">
        <v>14</v>
      </c>
      <c r="B14" s="47">
        <f>'[1]Sheet 1'!$B$21</f>
        <v>82.4</v>
      </c>
      <c r="C14" s="32">
        <f>'[4]Sheet 1'!$B26</f>
        <v>86.9</v>
      </c>
      <c r="D14" s="30">
        <v>183351.2</v>
      </c>
      <c r="E14" s="36">
        <f>[3]Foglio1!$B$13</f>
        <v>81.201913364273125</v>
      </c>
      <c r="F14" s="42">
        <f t="shared" si="1"/>
        <v>0.75596330275229362</v>
      </c>
      <c r="G14" s="33">
        <f t="shared" si="2"/>
        <v>0.86900000000000011</v>
      </c>
      <c r="H14" s="33">
        <f t="shared" si="3"/>
        <v>0.29306752613397635</v>
      </c>
      <c r="I14" s="43">
        <f t="shared" si="0"/>
        <v>1.8113016576974581</v>
      </c>
      <c r="J14" s="20">
        <f>AVERAGE(F14,G14,I14)</f>
        <v>1.1454216534832506</v>
      </c>
      <c r="K14" s="20">
        <f t="shared" si="4"/>
        <v>0.93233312164593207</v>
      </c>
      <c r="L14" s="9">
        <f t="shared" si="5"/>
        <v>0.60406182996296365</v>
      </c>
      <c r="M14" s="33">
        <f t="shared" si="6"/>
        <v>1.8952853228174216</v>
      </c>
    </row>
    <row r="15" spans="1:24" x14ac:dyDescent="0.35">
      <c r="A15" s="13" t="s">
        <v>13</v>
      </c>
      <c r="B15" s="47">
        <f>'[1]Sheet 1'!$B$22</f>
        <v>107.1</v>
      </c>
      <c r="C15" s="32">
        <f>'[4]Sheet 1'!$B27</f>
        <v>67.400000000000006</v>
      </c>
      <c r="D15" s="30">
        <v>146554.5</v>
      </c>
      <c r="E15" s="36">
        <f>[3]Foglio1!$B$14</f>
        <v>26.528594980249771</v>
      </c>
      <c r="F15" s="42">
        <f t="shared" si="1"/>
        <v>0.98256880733944951</v>
      </c>
      <c r="G15" s="33">
        <f t="shared" si="2"/>
        <v>0.67400000000000004</v>
      </c>
      <c r="H15" s="33">
        <f t="shared" si="3"/>
        <v>0.23425188795492929</v>
      </c>
      <c r="I15" s="43">
        <f t="shared" si="0"/>
        <v>0.59175068755525506</v>
      </c>
      <c r="J15" s="20">
        <f>AVERAGE(F15,G15,I15)</f>
        <v>0.74943983163156824</v>
      </c>
      <c r="K15" s="20">
        <f t="shared" si="4"/>
        <v>0.62064284571240846</v>
      </c>
      <c r="L15" s="9">
        <f t="shared" si="5"/>
        <v>0.44778176377145396</v>
      </c>
      <c r="M15" s="33">
        <f t="shared" si="6"/>
        <v>1.2924889419075594</v>
      </c>
    </row>
    <row r="16" spans="1:24" x14ac:dyDescent="0.35">
      <c r="A16" s="13" t="s">
        <v>22</v>
      </c>
      <c r="B16" s="47">
        <f>'[1]Sheet 1'!$B$23</f>
        <v>71.900000000000006</v>
      </c>
      <c r="C16" s="32">
        <f>'[4]Sheet 1'!$B28</f>
        <v>136.4</v>
      </c>
      <c r="D16" s="30">
        <v>356704.6</v>
      </c>
      <c r="E16" s="36">
        <f>[3]Foglio1!$B$15</f>
        <v>0</v>
      </c>
      <c r="F16" s="42">
        <f t="shared" si="1"/>
        <v>0.65963302752293584</v>
      </c>
      <c r="G16" s="33">
        <f t="shared" si="2"/>
        <v>1.3640000000000001</v>
      </c>
      <c r="H16" s="33">
        <f t="shared" si="3"/>
        <v>0.57015462501805048</v>
      </c>
      <c r="I16" s="43">
        <f t="shared" si="0"/>
        <v>0</v>
      </c>
      <c r="J16" s="20">
        <f>AVERAGE(F16,G16)</f>
        <v>1.0118165137614681</v>
      </c>
      <c r="K16" s="20">
        <f t="shared" si="4"/>
        <v>0.64844691313524661</v>
      </c>
      <c r="L16" s="9">
        <f t="shared" si="5"/>
        <v>0.7162336270150671</v>
      </c>
      <c r="M16" s="33">
        <f t="shared" si="6"/>
        <v>1</v>
      </c>
    </row>
    <row r="17" spans="1:13" x14ac:dyDescent="0.35">
      <c r="A17" s="13" t="s">
        <v>6</v>
      </c>
      <c r="B17" s="47">
        <f>'[1]Sheet 1'!$B$24</f>
        <v>201.5</v>
      </c>
      <c r="C17" s="32">
        <f>'[4]Sheet 1'!$B29</f>
        <v>101.7</v>
      </c>
      <c r="D17" s="30">
        <v>1796648.5</v>
      </c>
      <c r="E17" s="36">
        <f>[3]Foglio1!$B$16</f>
        <v>86.89662404990402</v>
      </c>
      <c r="F17" s="42">
        <f t="shared" si="1"/>
        <v>1.8486238532110091</v>
      </c>
      <c r="G17" s="33">
        <f t="shared" si="2"/>
        <v>1.0170000000000001</v>
      </c>
      <c r="H17" s="33">
        <f t="shared" si="3"/>
        <v>2.8717528504166832</v>
      </c>
      <c r="I17" s="43">
        <f t="shared" si="0"/>
        <v>1.9383287002588585</v>
      </c>
      <c r="J17" s="20">
        <f>AVERAGE(F17,G17,I17)</f>
        <v>1.6013175178232892</v>
      </c>
      <c r="K17" s="20">
        <f t="shared" si="4"/>
        <v>1.9189263509716377</v>
      </c>
      <c r="L17" s="9">
        <f t="shared" si="5"/>
        <v>3.2514164718672691</v>
      </c>
      <c r="M17" s="33">
        <f t="shared" si="6"/>
        <v>1.9580719085431224</v>
      </c>
    </row>
    <row r="18" spans="1:13" x14ac:dyDescent="0.35">
      <c r="A18" s="13" t="s">
        <v>24</v>
      </c>
      <c r="B18" s="47">
        <f>'[1]Sheet 1'!$B$25</f>
        <v>30.2</v>
      </c>
      <c r="C18" s="32">
        <f>'[4]Sheet 1'!$B30</f>
        <v>77.900000000000006</v>
      </c>
      <c r="D18" s="30">
        <v>30678.6</v>
      </c>
      <c r="E18" s="36">
        <f>[3]Foglio1!$B$17</f>
        <v>0</v>
      </c>
      <c r="F18" s="42">
        <f t="shared" si="1"/>
        <v>0.27706422018348625</v>
      </c>
      <c r="G18" s="33">
        <f t="shared" si="2"/>
        <v>0.77900000000000003</v>
      </c>
      <c r="H18" s="33">
        <f t="shared" si="3"/>
        <v>4.9036501573231077E-2</v>
      </c>
      <c r="I18" s="43">
        <f t="shared" si="0"/>
        <v>0</v>
      </c>
      <c r="J18" s="20">
        <f>AVERAGE(F18,G18)</f>
        <v>0.52803211009174311</v>
      </c>
      <c r="K18" s="20">
        <f t="shared" si="4"/>
        <v>0.27627518043917931</v>
      </c>
      <c r="L18" s="9">
        <f t="shared" si="5"/>
        <v>0.10287709460168316</v>
      </c>
      <c r="M18" s="33">
        <f t="shared" si="6"/>
        <v>1</v>
      </c>
    </row>
    <row r="19" spans="1:13" x14ac:dyDescent="0.35">
      <c r="A19" s="13" t="s">
        <v>27</v>
      </c>
      <c r="B19" s="47">
        <f>'[1]Sheet 1'!$B$26</f>
        <v>44.6</v>
      </c>
      <c r="C19" s="32">
        <f>'[4]Sheet 1'!$B31</f>
        <v>68</v>
      </c>
      <c r="D19" s="30">
        <v>48916.4</v>
      </c>
      <c r="E19" s="36">
        <f>[3]Foglio1!$B$18</f>
        <v>0</v>
      </c>
      <c r="F19" s="42">
        <f t="shared" si="1"/>
        <v>0.40917431192660553</v>
      </c>
      <c r="G19" s="33">
        <f t="shared" si="2"/>
        <v>0.68</v>
      </c>
      <c r="H19" s="33">
        <f t="shared" si="3"/>
        <v>7.8187698446369816E-2</v>
      </c>
      <c r="I19" s="43">
        <f t="shared" si="0"/>
        <v>0</v>
      </c>
      <c r="J19" s="20">
        <f>AVERAGE(F19,G19)</f>
        <v>0.54458715596330276</v>
      </c>
      <c r="K19" s="20">
        <f t="shared" si="4"/>
        <v>0.29184050259324384</v>
      </c>
      <c r="L19" s="9">
        <f t="shared" si="5"/>
        <v>0.14749518786992488</v>
      </c>
      <c r="M19" s="33">
        <f t="shared" si="6"/>
        <v>1</v>
      </c>
    </row>
    <row r="20" spans="1:13" x14ac:dyDescent="0.35">
      <c r="A20" s="13" t="s">
        <v>30</v>
      </c>
      <c r="B20" s="47">
        <f>'[1]Sheet 1'!$B$27</f>
        <v>239.8</v>
      </c>
      <c r="C20" s="32">
        <f>'[4]Sheet 1'!$B32</f>
        <v>132.1</v>
      </c>
      <c r="D20" s="30">
        <v>62373.599999999999</v>
      </c>
      <c r="E20" s="36">
        <f>[3]Foglio1!$B$19</f>
        <v>33.083490876212394</v>
      </c>
      <c r="F20" s="42">
        <f t="shared" si="1"/>
        <v>2.2000000000000002</v>
      </c>
      <c r="G20" s="33">
        <f t="shared" si="2"/>
        <v>1.321</v>
      </c>
      <c r="H20" s="33">
        <f t="shared" si="3"/>
        <v>9.9697611185910889E-2</v>
      </c>
      <c r="I20" s="43">
        <f t="shared" si="0"/>
        <v>0.73796514618665909</v>
      </c>
      <c r="J20" s="20">
        <f>AVERAGE(F20,G20,I20)</f>
        <v>1.4196550487288864</v>
      </c>
      <c r="K20" s="20">
        <f t="shared" si="4"/>
        <v>1.0896656893431425</v>
      </c>
      <c r="L20" s="9">
        <f t="shared" si="5"/>
        <v>0.62882989142434076</v>
      </c>
      <c r="M20" s="33">
        <f t="shared" si="6"/>
        <v>1.3647594321597445</v>
      </c>
    </row>
    <row r="21" spans="1:13" x14ac:dyDescent="0.35">
      <c r="A21" s="13" t="s">
        <v>11</v>
      </c>
      <c r="B21" s="47">
        <f>'[1]Sheet 1'!$B$28</f>
        <v>507.3</v>
      </c>
      <c r="C21" s="32">
        <f>'[4]Sheet 1'!$B33</f>
        <v>117.1</v>
      </c>
      <c r="D21" s="30">
        <v>813055</v>
      </c>
      <c r="E21" s="36">
        <f>[3]Foglio1!$B$20</f>
        <v>0</v>
      </c>
      <c r="F21" s="42">
        <f t="shared" si="1"/>
        <v>4.6541284403669723</v>
      </c>
      <c r="G21" s="33">
        <f t="shared" si="2"/>
        <v>1.171</v>
      </c>
      <c r="H21" s="33">
        <f t="shared" si="3"/>
        <v>1.299582535924827</v>
      </c>
      <c r="I21" s="43">
        <f t="shared" si="0"/>
        <v>0</v>
      </c>
      <c r="J21" s="20">
        <f>AVERAGE(F21,G21)</f>
        <v>2.9125642201834863</v>
      </c>
      <c r="K21" s="20">
        <f t="shared" si="4"/>
        <v>1.7811777440729499</v>
      </c>
      <c r="L21" s="9">
        <f t="shared" si="5"/>
        <v>2.6613351070603373</v>
      </c>
      <c r="M21" s="33">
        <f t="shared" si="6"/>
        <v>1</v>
      </c>
    </row>
    <row r="22" spans="1:13" x14ac:dyDescent="0.35">
      <c r="A22" s="13" t="s">
        <v>18</v>
      </c>
      <c r="B22" s="47">
        <f>'[1]Sheet 1'!$B$29</f>
        <v>17.3</v>
      </c>
      <c r="C22" s="32">
        <f>'[4]Sheet 1'!$B34</f>
        <v>144.69999999999999</v>
      </c>
      <c r="D22" s="30">
        <v>365130.5</v>
      </c>
      <c r="E22" s="36">
        <f>[3]Foglio1!$B$21</f>
        <v>90</v>
      </c>
      <c r="F22" s="42">
        <f t="shared" si="1"/>
        <v>0.15871559633027524</v>
      </c>
      <c r="G22" s="33">
        <f t="shared" si="2"/>
        <v>1.4469999999999998</v>
      </c>
      <c r="H22" s="33">
        <f t="shared" si="3"/>
        <v>0.58362253615499571</v>
      </c>
      <c r="I22" s="43">
        <f t="shared" si="0"/>
        <v>2.0075530543408946</v>
      </c>
      <c r="J22" s="20">
        <f>AVERAGE(F22,G22,I22)</f>
        <v>1.2044228835570567</v>
      </c>
      <c r="K22" s="20">
        <f t="shared" si="4"/>
        <v>1.0492227967065415</v>
      </c>
      <c r="L22" s="9">
        <f t="shared" si="5"/>
        <v>0.5167567373277171</v>
      </c>
      <c r="M22" s="33">
        <f t="shared" si="6"/>
        <v>1.9922879365182458</v>
      </c>
    </row>
    <row r="23" spans="1:13" x14ac:dyDescent="0.35">
      <c r="A23" s="13" t="s">
        <v>7</v>
      </c>
      <c r="B23" s="47">
        <f>'[1]Sheet 1'!$B$30</f>
        <v>123.6</v>
      </c>
      <c r="C23" s="32">
        <f>'[4]Sheet 1'!$B35</f>
        <v>59.9</v>
      </c>
      <c r="D23" s="30">
        <v>532504.69999999995</v>
      </c>
      <c r="E23" s="36">
        <f>[3]Foglio1!$B$22</f>
        <v>0</v>
      </c>
      <c r="F23" s="42">
        <f t="shared" si="1"/>
        <v>1.1339449541284403</v>
      </c>
      <c r="G23" s="33">
        <f t="shared" si="2"/>
        <v>0.59899999999999998</v>
      </c>
      <c r="H23" s="33">
        <f t="shared" si="3"/>
        <v>0.85115251541149017</v>
      </c>
      <c r="I23" s="43">
        <f t="shared" si="0"/>
        <v>0</v>
      </c>
      <c r="J23" s="20">
        <f>AVERAGE(F23,G23)</f>
        <v>0.86647247706422015</v>
      </c>
      <c r="K23" s="20">
        <f t="shared" si="4"/>
        <v>0.64602436738498259</v>
      </c>
      <c r="L23" s="9">
        <f t="shared" si="5"/>
        <v>0.76034919604528328</v>
      </c>
      <c r="M23" s="33">
        <f t="shared" si="6"/>
        <v>1</v>
      </c>
    </row>
    <row r="24" spans="1:13" x14ac:dyDescent="0.35">
      <c r="A24" s="13" t="s">
        <v>17</v>
      </c>
      <c r="B24" s="47">
        <f>'[1]Sheet 1'!$B$31</f>
        <v>113</v>
      </c>
      <c r="C24" s="32">
        <f>'[4]Sheet 1'!$B36</f>
        <v>87.9</v>
      </c>
      <c r="D24" s="30">
        <v>214374.6</v>
      </c>
      <c r="E24" s="36">
        <f>[3]Foglio1!$B$23</f>
        <v>60.603432374436963</v>
      </c>
      <c r="F24" s="42">
        <f t="shared" si="1"/>
        <v>1.036697247706422</v>
      </c>
      <c r="G24" s="33">
        <f t="shared" si="2"/>
        <v>0.879</v>
      </c>
      <c r="H24" s="33">
        <f t="shared" si="3"/>
        <v>0.34265515408658753</v>
      </c>
      <c r="I24" s="43">
        <f t="shared" si="0"/>
        <v>1.3518289529649199</v>
      </c>
      <c r="J24" s="20">
        <f t="shared" ref="J24:J31" si="7">AVERAGE(F24,G24,I24)</f>
        <v>1.0891754002237806</v>
      </c>
      <c r="K24" s="20">
        <f t="shared" si="4"/>
        <v>0.90254533868948239</v>
      </c>
      <c r="L24" s="9">
        <f t="shared" si="5"/>
        <v>0.72172257469964762</v>
      </c>
      <c r="M24" s="33">
        <f t="shared" si="6"/>
        <v>1.6681783872972566</v>
      </c>
    </row>
    <row r="25" spans="1:13" x14ac:dyDescent="0.35">
      <c r="A25" s="13" t="s">
        <v>9</v>
      </c>
      <c r="B25" s="47">
        <f>'[1]Sheet 1'!$B$32</f>
        <v>82.7</v>
      </c>
      <c r="C25" s="32">
        <f>'[4]Sheet 1'!$B37</f>
        <v>55.5</v>
      </c>
      <c r="D25" s="30">
        <v>224178.6</v>
      </c>
      <c r="E25" s="36">
        <f>[3]Foglio1!$B$24</f>
        <v>62.80196253145742</v>
      </c>
      <c r="F25" s="42">
        <f t="shared" si="1"/>
        <v>0.7587155963302753</v>
      </c>
      <c r="G25" s="33">
        <f t="shared" si="2"/>
        <v>0.55500000000000005</v>
      </c>
      <c r="H25" s="33">
        <f t="shared" si="3"/>
        <v>0.35832581250724416</v>
      </c>
      <c r="I25" s="43">
        <f t="shared" si="0"/>
        <v>1.4008696855403309</v>
      </c>
      <c r="J25" s="20">
        <f t="shared" si="7"/>
        <v>0.90486176062353552</v>
      </c>
      <c r="K25" s="20">
        <f t="shared" si="4"/>
        <v>0.76822777359446259</v>
      </c>
      <c r="L25" s="9">
        <f t="shared" si="5"/>
        <v>0.50533441520092182</v>
      </c>
      <c r="M25" s="33">
        <f t="shared" si="6"/>
        <v>1.6924181089959562</v>
      </c>
    </row>
    <row r="26" spans="1:13" x14ac:dyDescent="0.35">
      <c r="A26" s="13" t="s">
        <v>25</v>
      </c>
      <c r="B26" s="47">
        <f>'[1]Sheet 1'!$B$33</f>
        <v>112</v>
      </c>
      <c r="C26" s="32">
        <f>'[4]Sheet 1'!$B38</f>
        <v>86.1</v>
      </c>
      <c r="D26" s="30">
        <v>94428.3</v>
      </c>
      <c r="E26" s="36">
        <f>[3]Foglio1!$B$25</f>
        <v>90.699480148668641</v>
      </c>
      <c r="F26" s="42">
        <f t="shared" si="1"/>
        <v>1.0275229357798166</v>
      </c>
      <c r="G26" s="33">
        <f t="shared" si="2"/>
        <v>0.86099999999999999</v>
      </c>
      <c r="H26" s="33">
        <f t="shared" si="3"/>
        <v>0.15093366325410992</v>
      </c>
      <c r="I26" s="43">
        <f t="shared" si="0"/>
        <v>2.0231557599954564</v>
      </c>
      <c r="J26" s="20">
        <f t="shared" si="7"/>
        <v>1.3038928985917577</v>
      </c>
      <c r="K26" s="20">
        <f t="shared" si="4"/>
        <v>1.0156530897573457</v>
      </c>
      <c r="L26" s="9">
        <f t="shared" si="5"/>
        <v>0.5167796367256724</v>
      </c>
      <c r="M26" s="33">
        <f t="shared" si="6"/>
        <v>2</v>
      </c>
    </row>
    <row r="27" spans="1:13" x14ac:dyDescent="0.35">
      <c r="A27" s="13" t="s">
        <v>29</v>
      </c>
      <c r="B27" s="47">
        <f>'[1]Sheet 1'!$B$34</f>
        <v>103.7</v>
      </c>
      <c r="C27" s="32">
        <f>'[4]Sheet 1'!$B39</f>
        <v>86.9</v>
      </c>
      <c r="D27" s="30">
        <v>48533.1</v>
      </c>
      <c r="E27" s="36">
        <f>[3]Foglio1!$B$26</f>
        <v>72.676853306912776</v>
      </c>
      <c r="F27" s="42">
        <f t="shared" si="1"/>
        <v>0.95137614678899085</v>
      </c>
      <c r="G27" s="33">
        <f t="shared" si="2"/>
        <v>0.86900000000000011</v>
      </c>
      <c r="H27" s="33">
        <f t="shared" si="3"/>
        <v>7.7575033883677258E-2</v>
      </c>
      <c r="I27" s="43">
        <f t="shared" si="0"/>
        <v>1.6211404315130877</v>
      </c>
      <c r="J27" s="20">
        <f t="shared" si="7"/>
        <v>1.1471721927673595</v>
      </c>
      <c r="K27" s="20">
        <f t="shared" si="4"/>
        <v>0.87977290304643896</v>
      </c>
      <c r="L27" s="9">
        <f t="shared" si="5"/>
        <v>0.33989061893589489</v>
      </c>
      <c r="M27" s="33">
        <f t="shared" si="6"/>
        <v>1.801292942228397</v>
      </c>
    </row>
    <row r="28" spans="1:13" x14ac:dyDescent="0.35">
      <c r="A28" s="13" t="s">
        <v>4</v>
      </c>
      <c r="B28" s="47">
        <f>'[1]Sheet 1'!$B$35</f>
        <v>93.8</v>
      </c>
      <c r="C28" s="32">
        <f>'[4]Sheet 1'!$B40</f>
        <v>96</v>
      </c>
      <c r="D28" s="30">
        <v>1245513</v>
      </c>
      <c r="E28" s="36">
        <f>[3]Foglio1!$B$27</f>
        <v>80.179646055664293</v>
      </c>
      <c r="F28" s="42">
        <f t="shared" si="1"/>
        <v>0.86055045871559632</v>
      </c>
      <c r="G28" s="33">
        <f t="shared" si="2"/>
        <v>0.96</v>
      </c>
      <c r="H28" s="33">
        <f t="shared" si="3"/>
        <v>1.9908209691439558</v>
      </c>
      <c r="I28" s="43">
        <f t="shared" si="0"/>
        <v>1.7884988148335637</v>
      </c>
      <c r="J28" s="20">
        <f t="shared" si="7"/>
        <v>1.2030164245163866</v>
      </c>
      <c r="K28" s="20">
        <f t="shared" si="4"/>
        <v>1.3999675606732789</v>
      </c>
      <c r="L28" s="9">
        <f t="shared" si="5"/>
        <v>1.7602809877981893</v>
      </c>
      <c r="M28" s="33">
        <f t="shared" si="6"/>
        <v>1.8840143948370938</v>
      </c>
    </row>
    <row r="29" spans="1:13" x14ac:dyDescent="0.35">
      <c r="A29" s="13" t="s">
        <v>10</v>
      </c>
      <c r="B29" s="47">
        <f>'[1]Sheet 1'!$B$36</f>
        <v>25.2</v>
      </c>
      <c r="C29" s="32">
        <f>'[4]Sheet 1'!$B41</f>
        <v>123.2</v>
      </c>
      <c r="D29" s="30">
        <v>476869.5</v>
      </c>
      <c r="E29" s="36">
        <f>[3]Foglio1!$B$28</f>
        <v>58.101469547972719</v>
      </c>
      <c r="F29" s="42">
        <f t="shared" si="1"/>
        <v>0.2311926605504587</v>
      </c>
      <c r="G29" s="33">
        <f t="shared" si="2"/>
        <v>1.232</v>
      </c>
      <c r="H29" s="33">
        <f t="shared" si="3"/>
        <v>0.76222552486019302</v>
      </c>
      <c r="I29" s="43">
        <f t="shared" si="0"/>
        <v>1.2960198072525235</v>
      </c>
      <c r="J29" s="20">
        <f t="shared" si="7"/>
        <v>0.91973748926766064</v>
      </c>
      <c r="K29" s="20">
        <f t="shared" si="4"/>
        <v>0.88035949816579384</v>
      </c>
      <c r="L29" s="9">
        <f t="shared" si="5"/>
        <v>0.596807911852407</v>
      </c>
      <c r="M29" s="33">
        <f t="shared" si="6"/>
        <v>1.6405931925159505</v>
      </c>
    </row>
    <row r="30" spans="1:13" x14ac:dyDescent="0.35">
      <c r="A30" s="13" t="s">
        <v>23</v>
      </c>
      <c r="B30" s="47">
        <f>'[1]Sheet 1'!$B$37</f>
        <v>215.1</v>
      </c>
      <c r="C30" s="32">
        <f>'[4]Sheet 1'!$B42</f>
        <v>165</v>
      </c>
      <c r="D30" s="30">
        <v>644443.19999999995</v>
      </c>
      <c r="E30" s="36">
        <f>[3]Foglio1!$B$29</f>
        <v>66</v>
      </c>
      <c r="F30" s="42">
        <f t="shared" si="1"/>
        <v>1.973394495412844</v>
      </c>
      <c r="G30" s="33">
        <f t="shared" si="2"/>
        <v>1.65</v>
      </c>
      <c r="H30" s="33">
        <f t="shared" si="3"/>
        <v>1.030074383793852</v>
      </c>
      <c r="I30" s="43">
        <f t="shared" si="0"/>
        <v>1.4722055731833228</v>
      </c>
      <c r="J30" s="20">
        <f t="shared" si="7"/>
        <v>1.6985333561987221</v>
      </c>
      <c r="K30" s="20">
        <f t="shared" si="4"/>
        <v>1.5314186130975047</v>
      </c>
      <c r="L30" s="9">
        <f t="shared" si="5"/>
        <v>2.4072134472634859</v>
      </c>
      <c r="M30" s="33">
        <f t="shared" si="6"/>
        <v>1.7276778201133802</v>
      </c>
    </row>
    <row r="31" spans="1:13" x14ac:dyDescent="0.35">
      <c r="A31" s="14" t="s">
        <v>8</v>
      </c>
      <c r="B31" s="48">
        <v>281</v>
      </c>
      <c r="C31" s="37">
        <f>'[4]Sheet 1'!$B43</f>
        <v>121</v>
      </c>
      <c r="D31" s="53">
        <v>2526615.2000000002</v>
      </c>
      <c r="E31" s="38">
        <f>[3]Foglio1!$B$30</f>
        <v>55.668591250982267</v>
      </c>
      <c r="F31" s="44">
        <f t="shared" si="1"/>
        <v>2.5779816513761467</v>
      </c>
      <c r="G31" s="45">
        <f t="shared" si="2"/>
        <v>1.21</v>
      </c>
      <c r="H31" s="45">
        <f t="shared" si="3"/>
        <v>4.038527515263068</v>
      </c>
      <c r="I31" s="46">
        <f t="shared" ref="I31" si="8">E31/$E$3</f>
        <v>1.2417516710751584</v>
      </c>
      <c r="J31" s="20">
        <f t="shared" si="7"/>
        <v>1.6765777741504351</v>
      </c>
      <c r="K31" s="20">
        <f t="shared" si="4"/>
        <v>2.2670652094285932</v>
      </c>
      <c r="L31" s="9">
        <f t="shared" si="5"/>
        <v>4.5088407395277201</v>
      </c>
      <c r="M31" s="45">
        <f t="shared" si="6"/>
        <v>1.6137696837923874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C0C26-6813-48FE-B746-5BA50E9DB529}">
  <dimension ref="B2:V37"/>
  <sheetViews>
    <sheetView tabSelected="1" zoomScale="85" zoomScaleNormal="85" workbookViewId="0">
      <selection activeCell="D11" sqref="D11:E11"/>
    </sheetView>
  </sheetViews>
  <sheetFormatPr defaultRowHeight="14.5" x14ac:dyDescent="0.35"/>
  <cols>
    <col min="2" max="2" width="38.453125" bestFit="1" customWidth="1"/>
    <col min="3" max="3" width="10.453125" customWidth="1"/>
    <col min="5" max="5" width="11.6328125" bestFit="1" customWidth="1"/>
    <col min="18" max="18" width="18.90625" customWidth="1"/>
    <col min="19" max="19" width="18.08984375" bestFit="1" customWidth="1"/>
    <col min="20" max="20" width="8.1796875" customWidth="1"/>
    <col min="21" max="21" width="8.54296875" customWidth="1"/>
  </cols>
  <sheetData>
    <row r="2" spans="2:22" x14ac:dyDescent="0.35">
      <c r="B2" t="s">
        <v>71</v>
      </c>
      <c r="C2" t="s">
        <v>31</v>
      </c>
      <c r="D2" t="s">
        <v>1</v>
      </c>
      <c r="E2" t="s">
        <v>2</v>
      </c>
    </row>
    <row r="4" spans="2:22" x14ac:dyDescent="0.35">
      <c r="B4" s="8" t="s">
        <v>70</v>
      </c>
      <c r="C4" s="8">
        <v>2018</v>
      </c>
      <c r="D4" s="8">
        <v>25</v>
      </c>
      <c r="E4" s="8"/>
      <c r="G4" t="s">
        <v>74</v>
      </c>
      <c r="R4" s="65" t="s">
        <v>105</v>
      </c>
      <c r="S4" s="65"/>
      <c r="T4" s="65"/>
      <c r="U4" s="65"/>
      <c r="V4" s="65"/>
    </row>
    <row r="5" spans="2:22" x14ac:dyDescent="0.35">
      <c r="B5" s="15" t="s">
        <v>72</v>
      </c>
      <c r="C5" s="8">
        <v>2021</v>
      </c>
      <c r="D5" s="21">
        <v>20</v>
      </c>
      <c r="E5" s="21">
        <v>60</v>
      </c>
      <c r="G5" t="s">
        <v>75</v>
      </c>
    </row>
    <row r="6" spans="2:22" ht="29" x14ac:dyDescent="0.35">
      <c r="B6" s="15" t="s">
        <v>73</v>
      </c>
      <c r="C6" s="8">
        <v>2021</v>
      </c>
      <c r="D6" s="8">
        <v>21</v>
      </c>
      <c r="E6" s="8">
        <v>33</v>
      </c>
      <c r="G6" s="68" t="s">
        <v>81</v>
      </c>
      <c r="H6" s="68"/>
      <c r="I6" s="68"/>
      <c r="J6" s="68"/>
      <c r="K6" s="68"/>
    </row>
    <row r="7" spans="2:22" x14ac:dyDescent="0.35">
      <c r="R7" t="s">
        <v>106</v>
      </c>
      <c r="S7" t="s">
        <v>107</v>
      </c>
      <c r="T7" s="1">
        <v>0.25</v>
      </c>
      <c r="U7" s="1">
        <v>-0.25</v>
      </c>
      <c r="V7" t="s">
        <v>0</v>
      </c>
    </row>
    <row r="8" spans="2:22" x14ac:dyDescent="0.35">
      <c r="B8" s="65" t="s">
        <v>83</v>
      </c>
      <c r="C8" s="65"/>
      <c r="D8">
        <v>21</v>
      </c>
      <c r="E8">
        <v>61</v>
      </c>
      <c r="R8">
        <v>0</v>
      </c>
      <c r="S8">
        <v>8</v>
      </c>
      <c r="T8">
        <f>S8*1.25</f>
        <v>10</v>
      </c>
      <c r="U8">
        <f>S8*0.75</f>
        <v>6</v>
      </c>
      <c r="V8" t="s">
        <v>3</v>
      </c>
    </row>
    <row r="9" spans="2:22" x14ac:dyDescent="0.35">
      <c r="B9" s="65" t="s">
        <v>82</v>
      </c>
      <c r="C9" s="65"/>
      <c r="D9">
        <v>19</v>
      </c>
      <c r="E9">
        <v>55</v>
      </c>
      <c r="R9">
        <v>2</v>
      </c>
      <c r="S9">
        <v>19</v>
      </c>
      <c r="T9">
        <f t="shared" ref="T9:T36" si="0">S9*1.25</f>
        <v>23.75</v>
      </c>
      <c r="U9">
        <f t="shared" ref="U9:U36" si="1">S9*0.75</f>
        <v>14.25</v>
      </c>
      <c r="V9" t="s">
        <v>3</v>
      </c>
    </row>
    <row r="10" spans="2:22" ht="15" thickBot="1" x14ac:dyDescent="0.4">
      <c r="R10">
        <v>3</v>
      </c>
      <c r="S10">
        <v>16</v>
      </c>
      <c r="T10">
        <f t="shared" si="0"/>
        <v>20</v>
      </c>
      <c r="U10">
        <f t="shared" si="1"/>
        <v>12</v>
      </c>
      <c r="V10" t="s">
        <v>5</v>
      </c>
    </row>
    <row r="11" spans="2:22" ht="15" thickBot="1" x14ac:dyDescent="0.4">
      <c r="B11" s="66" t="s">
        <v>80</v>
      </c>
      <c r="C11" s="67"/>
      <c r="D11" s="22">
        <v>19</v>
      </c>
      <c r="E11" s="16">
        <v>55</v>
      </c>
      <c r="R11">
        <v>4</v>
      </c>
      <c r="S11">
        <v>22</v>
      </c>
      <c r="T11">
        <f t="shared" si="0"/>
        <v>27.5</v>
      </c>
      <c r="U11">
        <f t="shared" si="1"/>
        <v>16.5</v>
      </c>
      <c r="V11" t="s">
        <v>19</v>
      </c>
    </row>
    <row r="12" spans="2:22" x14ac:dyDescent="0.35">
      <c r="R12">
        <v>5</v>
      </c>
      <c r="S12">
        <v>10</v>
      </c>
      <c r="T12">
        <f t="shared" si="0"/>
        <v>12.5</v>
      </c>
      <c r="U12">
        <f t="shared" si="1"/>
        <v>7.5</v>
      </c>
      <c r="V12" t="s">
        <v>4</v>
      </c>
    </row>
    <row r="13" spans="2:22" x14ac:dyDescent="0.35">
      <c r="R13">
        <v>8</v>
      </c>
      <c r="S13">
        <v>4</v>
      </c>
      <c r="T13">
        <f t="shared" si="0"/>
        <v>5</v>
      </c>
      <c r="U13">
        <f t="shared" si="1"/>
        <v>3</v>
      </c>
      <c r="V13" t="s">
        <v>4</v>
      </c>
    </row>
    <row r="14" spans="2:22" x14ac:dyDescent="0.35">
      <c r="R14">
        <v>6</v>
      </c>
      <c r="S14">
        <v>18</v>
      </c>
      <c r="T14">
        <f t="shared" si="0"/>
        <v>22.5</v>
      </c>
      <c r="U14">
        <f t="shared" si="1"/>
        <v>13.5</v>
      </c>
      <c r="V14" t="s">
        <v>3</v>
      </c>
    </row>
    <row r="15" spans="2:22" x14ac:dyDescent="0.35">
      <c r="R15">
        <v>10.5</v>
      </c>
      <c r="S15">
        <v>17</v>
      </c>
      <c r="T15">
        <f t="shared" si="0"/>
        <v>21.25</v>
      </c>
      <c r="U15">
        <f t="shared" si="1"/>
        <v>12.75</v>
      </c>
      <c r="V15" t="s">
        <v>4</v>
      </c>
    </row>
    <row r="16" spans="2:22" x14ac:dyDescent="0.35">
      <c r="R16">
        <v>11</v>
      </c>
      <c r="S16">
        <v>20</v>
      </c>
      <c r="T16">
        <f t="shared" si="0"/>
        <v>25</v>
      </c>
      <c r="U16">
        <f t="shared" si="1"/>
        <v>15</v>
      </c>
      <c r="V16" t="s">
        <v>3</v>
      </c>
    </row>
    <row r="17" spans="7:22" x14ac:dyDescent="0.35">
      <c r="R17">
        <v>16</v>
      </c>
      <c r="S17">
        <v>30</v>
      </c>
      <c r="T17">
        <f t="shared" si="0"/>
        <v>37.5</v>
      </c>
      <c r="U17">
        <f t="shared" si="1"/>
        <v>22.5</v>
      </c>
      <c r="V17" t="s">
        <v>3</v>
      </c>
    </row>
    <row r="18" spans="7:22" x14ac:dyDescent="0.35">
      <c r="R18">
        <v>19.5</v>
      </c>
      <c r="S18">
        <v>43</v>
      </c>
      <c r="T18">
        <f t="shared" si="0"/>
        <v>53.75</v>
      </c>
      <c r="U18">
        <f t="shared" si="1"/>
        <v>32.25</v>
      </c>
      <c r="V18" t="s">
        <v>6</v>
      </c>
    </row>
    <row r="19" spans="7:22" x14ac:dyDescent="0.35">
      <c r="R19">
        <v>24</v>
      </c>
      <c r="S19">
        <v>19</v>
      </c>
      <c r="T19">
        <f t="shared" si="0"/>
        <v>23.75</v>
      </c>
      <c r="U19">
        <f t="shared" si="1"/>
        <v>14.25</v>
      </c>
      <c r="V19" t="s">
        <v>4</v>
      </c>
    </row>
    <row r="20" spans="7:22" x14ac:dyDescent="0.35">
      <c r="R20">
        <v>25</v>
      </c>
      <c r="S20">
        <v>22</v>
      </c>
      <c r="T20">
        <f t="shared" si="0"/>
        <v>27.5</v>
      </c>
      <c r="U20">
        <f t="shared" si="1"/>
        <v>16.5</v>
      </c>
      <c r="V20" t="s">
        <v>19</v>
      </c>
    </row>
    <row r="21" spans="7:22" x14ac:dyDescent="0.35">
      <c r="R21">
        <v>24</v>
      </c>
      <c r="S21">
        <v>25</v>
      </c>
      <c r="T21">
        <f t="shared" si="0"/>
        <v>31.25</v>
      </c>
      <c r="U21">
        <f t="shared" si="1"/>
        <v>18.75</v>
      </c>
      <c r="V21" t="s">
        <v>5</v>
      </c>
    </row>
    <row r="22" spans="7:22" x14ac:dyDescent="0.35">
      <c r="R22">
        <v>25</v>
      </c>
      <c r="S22">
        <v>29</v>
      </c>
      <c r="T22">
        <f t="shared" si="0"/>
        <v>36.25</v>
      </c>
      <c r="U22">
        <f t="shared" si="1"/>
        <v>21.75</v>
      </c>
      <c r="V22" t="s">
        <v>4</v>
      </c>
    </row>
    <row r="23" spans="7:22" x14ac:dyDescent="0.35">
      <c r="R23">
        <v>26</v>
      </c>
      <c r="S23">
        <v>38</v>
      </c>
      <c r="T23">
        <f t="shared" si="0"/>
        <v>47.5</v>
      </c>
      <c r="U23">
        <f t="shared" si="1"/>
        <v>28.5</v>
      </c>
      <c r="V23" t="s">
        <v>5</v>
      </c>
    </row>
    <row r="24" spans="7:22" x14ac:dyDescent="0.35">
      <c r="R24">
        <v>19</v>
      </c>
      <c r="S24">
        <v>95</v>
      </c>
      <c r="T24">
        <f t="shared" si="0"/>
        <v>118.75</v>
      </c>
      <c r="U24">
        <f t="shared" si="1"/>
        <v>71.25</v>
      </c>
      <c r="V24" t="s">
        <v>11</v>
      </c>
    </row>
    <row r="25" spans="7:22" x14ac:dyDescent="0.35">
      <c r="R25">
        <v>25</v>
      </c>
      <c r="S25">
        <v>68</v>
      </c>
      <c r="T25">
        <f t="shared" si="0"/>
        <v>85</v>
      </c>
      <c r="U25">
        <f t="shared" si="1"/>
        <v>51</v>
      </c>
      <c r="V25" t="s">
        <v>6</v>
      </c>
    </row>
    <row r="26" spans="7:22" x14ac:dyDescent="0.35">
      <c r="R26">
        <v>28</v>
      </c>
      <c r="S26">
        <v>79</v>
      </c>
      <c r="T26">
        <f t="shared" si="0"/>
        <v>98.75</v>
      </c>
      <c r="U26">
        <f t="shared" si="1"/>
        <v>59.25</v>
      </c>
      <c r="V26" t="s">
        <v>8</v>
      </c>
    </row>
    <row r="27" spans="7:22" x14ac:dyDescent="0.35">
      <c r="R27">
        <v>30</v>
      </c>
      <c r="S27">
        <v>23</v>
      </c>
      <c r="T27">
        <f t="shared" si="0"/>
        <v>28.75</v>
      </c>
      <c r="U27">
        <f t="shared" si="1"/>
        <v>17.25</v>
      </c>
      <c r="V27" t="s">
        <v>4</v>
      </c>
    </row>
    <row r="28" spans="7:22" x14ac:dyDescent="0.35">
      <c r="G28" s="2" t="s">
        <v>85</v>
      </c>
      <c r="K28" t="s">
        <v>86</v>
      </c>
      <c r="R28">
        <v>33</v>
      </c>
      <c r="S28">
        <v>39</v>
      </c>
      <c r="T28">
        <f t="shared" si="0"/>
        <v>48.75</v>
      </c>
      <c r="U28">
        <f t="shared" si="1"/>
        <v>29.25</v>
      </c>
      <c r="V28" t="s">
        <v>23</v>
      </c>
    </row>
    <row r="29" spans="7:22" x14ac:dyDescent="0.35">
      <c r="R29">
        <v>36</v>
      </c>
      <c r="S29">
        <v>35</v>
      </c>
      <c r="T29">
        <f t="shared" si="0"/>
        <v>43.75</v>
      </c>
      <c r="U29">
        <f t="shared" si="1"/>
        <v>26.25</v>
      </c>
      <c r="V29" t="s">
        <v>5</v>
      </c>
    </row>
    <row r="30" spans="7:22" x14ac:dyDescent="0.35">
      <c r="R30">
        <v>38</v>
      </c>
      <c r="S30">
        <v>29</v>
      </c>
      <c r="T30">
        <f t="shared" si="0"/>
        <v>36.25</v>
      </c>
      <c r="U30">
        <f t="shared" si="1"/>
        <v>21.75</v>
      </c>
      <c r="V30" t="s">
        <v>5</v>
      </c>
    </row>
    <row r="31" spans="7:22" x14ac:dyDescent="0.35">
      <c r="R31">
        <v>46</v>
      </c>
      <c r="S31">
        <v>25</v>
      </c>
      <c r="T31">
        <f t="shared" si="0"/>
        <v>31.25</v>
      </c>
      <c r="U31">
        <f t="shared" si="1"/>
        <v>18.75</v>
      </c>
      <c r="V31" t="s">
        <v>5</v>
      </c>
    </row>
    <row r="32" spans="7:22" x14ac:dyDescent="0.35">
      <c r="R32">
        <v>56</v>
      </c>
      <c r="S32">
        <v>38</v>
      </c>
      <c r="T32">
        <f t="shared" si="0"/>
        <v>47.5</v>
      </c>
      <c r="U32">
        <f t="shared" si="1"/>
        <v>28.5</v>
      </c>
      <c r="V32" t="s">
        <v>5</v>
      </c>
    </row>
    <row r="33" spans="18:22" x14ac:dyDescent="0.35">
      <c r="R33">
        <v>70</v>
      </c>
      <c r="S33">
        <v>43</v>
      </c>
      <c r="T33">
        <f t="shared" si="0"/>
        <v>53.75</v>
      </c>
      <c r="U33">
        <f t="shared" si="1"/>
        <v>32.25</v>
      </c>
      <c r="V33" t="s">
        <v>108</v>
      </c>
    </row>
    <row r="34" spans="18:22" x14ac:dyDescent="0.35">
      <c r="R34">
        <v>86</v>
      </c>
      <c r="S34">
        <v>52</v>
      </c>
      <c r="T34">
        <f t="shared" si="0"/>
        <v>65</v>
      </c>
      <c r="U34">
        <f t="shared" si="1"/>
        <v>39</v>
      </c>
      <c r="V34" t="s">
        <v>109</v>
      </c>
    </row>
    <row r="35" spans="18:22" x14ac:dyDescent="0.35">
      <c r="R35">
        <v>95</v>
      </c>
      <c r="S35">
        <v>59</v>
      </c>
      <c r="T35">
        <f t="shared" si="0"/>
        <v>73.75</v>
      </c>
      <c r="U35">
        <f t="shared" si="1"/>
        <v>44.25</v>
      </c>
      <c r="V35" t="s">
        <v>110</v>
      </c>
    </row>
    <row r="36" spans="18:22" x14ac:dyDescent="0.35">
      <c r="R36">
        <v>94</v>
      </c>
      <c r="S36">
        <v>73</v>
      </c>
      <c r="T36">
        <f t="shared" si="0"/>
        <v>91.25</v>
      </c>
      <c r="U36">
        <f t="shared" si="1"/>
        <v>54.75</v>
      </c>
      <c r="V36" t="s">
        <v>6</v>
      </c>
    </row>
    <row r="37" spans="18:22" x14ac:dyDescent="0.35">
      <c r="R37">
        <v>99</v>
      </c>
      <c r="S37">
        <v>63</v>
      </c>
      <c r="T37">
        <f t="shared" ref="T37" si="2">S37*1.25</f>
        <v>78.75</v>
      </c>
      <c r="U37">
        <f t="shared" ref="U37" si="3">S37*0.75</f>
        <v>47.25</v>
      </c>
      <c r="V37" t="s">
        <v>110</v>
      </c>
    </row>
  </sheetData>
  <mergeCells count="5">
    <mergeCell ref="B9:C9"/>
    <mergeCell ref="B8:C8"/>
    <mergeCell ref="B11:C11"/>
    <mergeCell ref="G6:K6"/>
    <mergeCell ref="R4:V4"/>
  </mergeCells>
  <hyperlinks>
    <hyperlink ref="G28" r:id="rId1" display="https://unece.org/sites/default/files/2022-07/2017852_E_web_light%2Bc1.pdf" xr:uid="{CB43E56A-A400-4DF5-90A1-C0EE57E4CAFA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INFRACOSTLAND</vt:lpstr>
      <vt:lpstr>INFRACOSTSEA</vt:lpstr>
      <vt:lpstr>CostIndex</vt:lpstr>
      <vt:lpstr>MilEurPkm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</dc:creator>
  <cp:lastModifiedBy>Filippo Borgogno</cp:lastModifiedBy>
  <dcterms:created xsi:type="dcterms:W3CDTF">2015-06-05T18:19:34Z</dcterms:created>
  <dcterms:modified xsi:type="dcterms:W3CDTF">2025-07-28T17:13:52Z</dcterms:modified>
</cp:coreProperties>
</file>