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threadedComments/threadedComment6.xml" ContentType="application/vnd.ms-excel.threaded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threadedComments/threadedComment7.xml" ContentType="application/vnd.ms-excel.threadedcomment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threadedComments/threadedComment8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ud365-my.sharepoint.com/personal/anativio_tudelft_nl/Documents/Files_Arianna/QERA/"/>
    </mc:Choice>
  </mc:AlternateContent>
  <xr:revisionPtr revIDLastSave="834" documentId="8_{D64B36DB-55B2-4B22-843D-FF9052E4D9AF}" xr6:coauthVersionLast="47" xr6:coauthVersionMax="47" xr10:uidLastSave="{008F1961-3699-AA4C-9816-0409827545BC}"/>
  <bookViews>
    <workbookView xWindow="0" yWindow="0" windowWidth="28800" windowHeight="18000" activeTab="1" xr2:uid="{EFF930CA-3FE1-4FC3-8F5E-BE4276392E9A}"/>
  </bookViews>
  <sheets>
    <sheet name="M1_leaching" sheetId="3" r:id="rId1"/>
    <sheet name="M1_ERA" sheetId="2" r:id="rId2"/>
    <sheet name="M2_leaching" sheetId="4" r:id="rId3"/>
    <sheet name="M2_ERA" sheetId="5" r:id="rId4"/>
    <sheet name="M3_leaching" sheetId="6" r:id="rId5"/>
    <sheet name="M3_ERA" sheetId="7" r:id="rId6"/>
    <sheet name="M4_leaching" sheetId="8" r:id="rId7"/>
    <sheet name="M4_ERA" sheetId="9" r:id="rId8"/>
  </sheets>
  <externalReferences>
    <externalReference r:id="rId9"/>
    <externalReference r:id="rId10"/>
    <externalReference r:id="rId11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" i="2" l="1"/>
  <c r="B25" i="2"/>
  <c r="B23" i="2"/>
  <c r="E30" i="2"/>
  <c r="B28" i="2"/>
  <c r="B27" i="2"/>
  <c r="E27" i="2"/>
  <c r="E26" i="2"/>
  <c r="B2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46" i="2"/>
  <c r="E25" i="2"/>
  <c r="E24" i="2"/>
  <c r="E23" i="2"/>
  <c r="E24" i="5"/>
  <c r="E23" i="5"/>
  <c r="B24" i="5"/>
  <c r="B23" i="5"/>
  <c r="B20" i="2"/>
  <c r="B19" i="2"/>
  <c r="B39" i="2"/>
  <c r="F46" i="2"/>
  <c r="D46" i="2"/>
  <c r="C46" i="2"/>
  <c r="B36" i="9"/>
  <c r="B35" i="9"/>
  <c r="B36" i="7"/>
  <c r="B35" i="7"/>
  <c r="B16" i="5" l="1"/>
  <c r="B19" i="5"/>
  <c r="F46" i="5"/>
  <c r="D46" i="5"/>
  <c r="C47" i="5"/>
  <c r="C46" i="5"/>
  <c r="B25" i="5"/>
  <c r="Q46" i="5"/>
  <c r="E46" i="5"/>
  <c r="B36" i="5" l="1"/>
  <c r="B35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O46" i="5" l="1"/>
  <c r="N46" i="5"/>
  <c r="C47" i="2" l="1"/>
  <c r="F47" i="2" l="1"/>
  <c r="E47" i="2"/>
  <c r="D47" i="2"/>
  <c r="N47" i="7"/>
  <c r="C47" i="7" l="1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46" i="7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46" i="9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B31" i="9"/>
  <c r="E29" i="9"/>
  <c r="B28" i="9"/>
  <c r="E28" i="9" s="1"/>
  <c r="B30" i="9" s="1"/>
  <c r="B27" i="9"/>
  <c r="E27" i="9" s="1"/>
  <c r="E30" i="9" s="1"/>
  <c r="B26" i="9"/>
  <c r="E26" i="9" s="1"/>
  <c r="E24" i="9"/>
  <c r="E25" i="9" s="1"/>
  <c r="B24" i="9"/>
  <c r="E23" i="9"/>
  <c r="B23" i="9"/>
  <c r="B25" i="9" s="1"/>
  <c r="B31" i="7"/>
  <c r="E29" i="7"/>
  <c r="B28" i="7"/>
  <c r="E28" i="7" s="1"/>
  <c r="B30" i="7" s="1"/>
  <c r="B27" i="7"/>
  <c r="E27" i="7" s="1"/>
  <c r="E30" i="7" s="1"/>
  <c r="E26" i="7"/>
  <c r="B26" i="7"/>
  <c r="E24" i="7"/>
  <c r="E25" i="7" s="1"/>
  <c r="B24" i="7"/>
  <c r="E23" i="7"/>
  <c r="B23" i="7"/>
  <c r="B25" i="7" s="1"/>
  <c r="B31" i="5"/>
  <c r="E29" i="5"/>
  <c r="B28" i="5"/>
  <c r="E28" i="5" s="1"/>
  <c r="B30" i="5" s="1"/>
  <c r="B27" i="5"/>
  <c r="E27" i="5" s="1"/>
  <c r="E30" i="5" s="1"/>
  <c r="B26" i="5"/>
  <c r="E26" i="5" s="1"/>
  <c r="E25" i="5"/>
  <c r="F36" i="2"/>
  <c r="F35" i="2"/>
  <c r="R47" i="5" l="1"/>
  <c r="R54" i="5"/>
  <c r="R62" i="5"/>
  <c r="R55" i="5"/>
  <c r="R63" i="5"/>
  <c r="R48" i="5"/>
  <c r="R56" i="5"/>
  <c r="R49" i="5"/>
  <c r="R57" i="5"/>
  <c r="R46" i="5"/>
  <c r="R50" i="5"/>
  <c r="R59" i="5"/>
  <c r="R52" i="5"/>
  <c r="R53" i="5"/>
  <c r="R61" i="5"/>
  <c r="R58" i="5"/>
  <c r="R60" i="5"/>
  <c r="R51" i="5"/>
  <c r="O46" i="2"/>
  <c r="N46" i="2"/>
  <c r="N69" i="9"/>
  <c r="N70" i="9"/>
  <c r="N71" i="9"/>
  <c r="N72" i="9"/>
  <c r="N73" i="9"/>
  <c r="N74" i="9"/>
  <c r="N75" i="9"/>
  <c r="N76" i="9"/>
  <c r="N77" i="9"/>
  <c r="N78" i="9"/>
  <c r="N79" i="9"/>
  <c r="N80" i="9"/>
  <c r="N81" i="9"/>
  <c r="N82" i="9"/>
  <c r="N83" i="9"/>
  <c r="N84" i="9"/>
  <c r="N85" i="9"/>
  <c r="N68" i="9"/>
  <c r="N47" i="9"/>
  <c r="N48" i="9"/>
  <c r="N49" i="9"/>
  <c r="N50" i="9"/>
  <c r="N51" i="9"/>
  <c r="N52" i="9"/>
  <c r="N53" i="9"/>
  <c r="N54" i="9"/>
  <c r="N55" i="9"/>
  <c r="N56" i="9"/>
  <c r="N57" i="9"/>
  <c r="N58" i="9"/>
  <c r="N59" i="9"/>
  <c r="N60" i="9"/>
  <c r="N61" i="9"/>
  <c r="N62" i="9"/>
  <c r="N63" i="9"/>
  <c r="N46" i="9"/>
  <c r="C69" i="9"/>
  <c r="C70" i="9"/>
  <c r="C71" i="9"/>
  <c r="C72" i="9"/>
  <c r="C73" i="9"/>
  <c r="C74" i="9"/>
  <c r="C75" i="9"/>
  <c r="C76" i="9"/>
  <c r="C77" i="9"/>
  <c r="C78" i="9"/>
  <c r="C79" i="9"/>
  <c r="C80" i="9"/>
  <c r="C81" i="9"/>
  <c r="C82" i="9"/>
  <c r="C83" i="9"/>
  <c r="C84" i="9"/>
  <c r="C85" i="9"/>
  <c r="C68" i="9"/>
  <c r="N69" i="7"/>
  <c r="N70" i="7"/>
  <c r="N71" i="7"/>
  <c r="N72" i="7"/>
  <c r="N73" i="7"/>
  <c r="N74" i="7"/>
  <c r="N75" i="7"/>
  <c r="N76" i="7"/>
  <c r="N77" i="7"/>
  <c r="N78" i="7"/>
  <c r="N79" i="7"/>
  <c r="N80" i="7"/>
  <c r="N81" i="7"/>
  <c r="N82" i="7"/>
  <c r="N83" i="7"/>
  <c r="N84" i="7"/>
  <c r="N85" i="7"/>
  <c r="N68" i="7"/>
  <c r="N48" i="7"/>
  <c r="N49" i="7"/>
  <c r="N50" i="7"/>
  <c r="N51" i="7"/>
  <c r="N52" i="7"/>
  <c r="N53" i="7"/>
  <c r="N54" i="7"/>
  <c r="N55" i="7"/>
  <c r="N56" i="7"/>
  <c r="N57" i="7"/>
  <c r="N58" i="7"/>
  <c r="N59" i="7"/>
  <c r="N60" i="7"/>
  <c r="N61" i="7"/>
  <c r="N62" i="7"/>
  <c r="N63" i="7"/>
  <c r="N46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68" i="7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68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68" i="2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82" i="5"/>
  <c r="N83" i="5"/>
  <c r="N84" i="5"/>
  <c r="N68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68" i="5"/>
  <c r="M68" i="2" l="1"/>
  <c r="E46" i="2"/>
  <c r="G46" i="2" s="1"/>
  <c r="D46" i="9"/>
  <c r="F46" i="9" s="1"/>
  <c r="D47" i="9"/>
  <c r="F47" i="9" s="1"/>
  <c r="U5" i="9"/>
  <c r="U6" i="9"/>
  <c r="U7" i="9"/>
  <c r="U8" i="9"/>
  <c r="U9" i="9"/>
  <c r="U10" i="9"/>
  <c r="U11" i="9"/>
  <c r="U12" i="9"/>
  <c r="U13" i="9"/>
  <c r="U14" i="9"/>
  <c r="U15" i="9"/>
  <c r="U16" i="9"/>
  <c r="U4" i="9"/>
  <c r="V8" i="9"/>
  <c r="V9" i="9"/>
  <c r="V10" i="9"/>
  <c r="V11" i="9"/>
  <c r="V12" i="9"/>
  <c r="V13" i="9"/>
  <c r="V14" i="9"/>
  <c r="V15" i="9"/>
  <c r="V16" i="9"/>
  <c r="V7" i="9"/>
  <c r="V6" i="9"/>
  <c r="V5" i="9"/>
  <c r="V4" i="9"/>
  <c r="M69" i="9"/>
  <c r="M70" i="9"/>
  <c r="M71" i="9"/>
  <c r="M72" i="9"/>
  <c r="M73" i="9"/>
  <c r="M74" i="9"/>
  <c r="M75" i="9"/>
  <c r="M76" i="9"/>
  <c r="M77" i="9"/>
  <c r="M78" i="9"/>
  <c r="M79" i="9"/>
  <c r="M80" i="9"/>
  <c r="M81" i="9"/>
  <c r="M82" i="9"/>
  <c r="M83" i="9"/>
  <c r="M84" i="9"/>
  <c r="M85" i="9"/>
  <c r="M68" i="9"/>
  <c r="M47" i="9"/>
  <c r="M48" i="9"/>
  <c r="M49" i="9"/>
  <c r="M50" i="9"/>
  <c r="M51" i="9"/>
  <c r="M52" i="9"/>
  <c r="M53" i="9"/>
  <c r="M54" i="9"/>
  <c r="M55" i="9"/>
  <c r="M56" i="9"/>
  <c r="M57" i="9"/>
  <c r="M58" i="9"/>
  <c r="M59" i="9"/>
  <c r="M60" i="9"/>
  <c r="M61" i="9"/>
  <c r="M62" i="9"/>
  <c r="M63" i="9"/>
  <c r="M46" i="9"/>
  <c r="B69" i="9"/>
  <c r="B70" i="9"/>
  <c r="B71" i="9"/>
  <c r="B72" i="9"/>
  <c r="B73" i="9"/>
  <c r="B74" i="9"/>
  <c r="B75" i="9"/>
  <c r="B76" i="9"/>
  <c r="B77" i="9"/>
  <c r="B78" i="9"/>
  <c r="B79" i="9"/>
  <c r="B80" i="9"/>
  <c r="B81" i="9"/>
  <c r="B82" i="9"/>
  <c r="B83" i="9"/>
  <c r="B84" i="9"/>
  <c r="B85" i="9"/>
  <c r="B68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46" i="9"/>
  <c r="D37" i="9"/>
  <c r="B39" i="9" s="1"/>
  <c r="B20" i="9"/>
  <c r="E19" i="9"/>
  <c r="B19" i="9"/>
  <c r="E17" i="9"/>
  <c r="B17" i="9"/>
  <c r="E16" i="9"/>
  <c r="B16" i="9"/>
  <c r="R220" i="8"/>
  <c r="M220" i="8"/>
  <c r="L220" i="8"/>
  <c r="K220" i="8"/>
  <c r="J220" i="8"/>
  <c r="Q220" i="8" s="1"/>
  <c r="I220" i="8"/>
  <c r="H220" i="8"/>
  <c r="G220" i="8"/>
  <c r="P220" i="8" s="1"/>
  <c r="F220" i="8"/>
  <c r="O220" i="8" s="1"/>
  <c r="M219" i="8"/>
  <c r="L219" i="8"/>
  <c r="R219" i="8" s="1"/>
  <c r="K219" i="8"/>
  <c r="J219" i="8"/>
  <c r="Q219" i="8" s="1"/>
  <c r="I219" i="8"/>
  <c r="H219" i="8"/>
  <c r="G219" i="8"/>
  <c r="P219" i="8" s="1"/>
  <c r="F219" i="8"/>
  <c r="O219" i="8" s="1"/>
  <c r="M218" i="8"/>
  <c r="L218" i="8"/>
  <c r="R218" i="8" s="1"/>
  <c r="K218" i="8"/>
  <c r="J218" i="8"/>
  <c r="Q218" i="8" s="1"/>
  <c r="I218" i="8"/>
  <c r="H218" i="8"/>
  <c r="G218" i="8"/>
  <c r="P218" i="8" s="1"/>
  <c r="F218" i="8"/>
  <c r="O218" i="8" s="1"/>
  <c r="M217" i="8"/>
  <c r="L217" i="8"/>
  <c r="R217" i="8" s="1"/>
  <c r="K217" i="8"/>
  <c r="J217" i="8"/>
  <c r="Q217" i="8" s="1"/>
  <c r="I217" i="8"/>
  <c r="H217" i="8"/>
  <c r="G217" i="8"/>
  <c r="P217" i="8" s="1"/>
  <c r="F217" i="8"/>
  <c r="O217" i="8" s="1"/>
  <c r="M216" i="8"/>
  <c r="L216" i="8"/>
  <c r="R216" i="8" s="1"/>
  <c r="K216" i="8"/>
  <c r="J216" i="8"/>
  <c r="Q216" i="8" s="1"/>
  <c r="I216" i="8"/>
  <c r="H216" i="8"/>
  <c r="G216" i="8"/>
  <c r="P216" i="8" s="1"/>
  <c r="F216" i="8"/>
  <c r="O216" i="8" s="1"/>
  <c r="M215" i="8"/>
  <c r="L215" i="8"/>
  <c r="R215" i="8" s="1"/>
  <c r="K215" i="8"/>
  <c r="J215" i="8"/>
  <c r="Q215" i="8" s="1"/>
  <c r="I215" i="8"/>
  <c r="H215" i="8"/>
  <c r="G215" i="8"/>
  <c r="P215" i="8" s="1"/>
  <c r="F215" i="8"/>
  <c r="O215" i="8" s="1"/>
  <c r="M214" i="8"/>
  <c r="L214" i="8"/>
  <c r="R214" i="8" s="1"/>
  <c r="K214" i="8"/>
  <c r="J214" i="8"/>
  <c r="Q214" i="8" s="1"/>
  <c r="I214" i="8"/>
  <c r="H214" i="8"/>
  <c r="G214" i="8"/>
  <c r="P214" i="8" s="1"/>
  <c r="F214" i="8"/>
  <c r="O214" i="8" s="1"/>
  <c r="M213" i="8"/>
  <c r="L213" i="8"/>
  <c r="R213" i="8" s="1"/>
  <c r="K213" i="8"/>
  <c r="J213" i="8"/>
  <c r="Q213" i="8" s="1"/>
  <c r="I213" i="8"/>
  <c r="H213" i="8"/>
  <c r="G213" i="8"/>
  <c r="P213" i="8" s="1"/>
  <c r="F213" i="8"/>
  <c r="O213" i="8" s="1"/>
  <c r="M212" i="8"/>
  <c r="L212" i="8"/>
  <c r="R212" i="8" s="1"/>
  <c r="K212" i="8"/>
  <c r="J212" i="8"/>
  <c r="Q212" i="8" s="1"/>
  <c r="I212" i="8"/>
  <c r="H212" i="8"/>
  <c r="G212" i="8"/>
  <c r="P212" i="8" s="1"/>
  <c r="F212" i="8"/>
  <c r="O212" i="8" s="1"/>
  <c r="M211" i="8"/>
  <c r="L211" i="8"/>
  <c r="R211" i="8" s="1"/>
  <c r="K211" i="8"/>
  <c r="J211" i="8"/>
  <c r="Q211" i="8" s="1"/>
  <c r="I211" i="8"/>
  <c r="H211" i="8"/>
  <c r="G211" i="8"/>
  <c r="P211" i="8" s="1"/>
  <c r="F211" i="8"/>
  <c r="O211" i="8" s="1"/>
  <c r="M210" i="8"/>
  <c r="L210" i="8"/>
  <c r="R210" i="8" s="1"/>
  <c r="K210" i="8"/>
  <c r="J210" i="8"/>
  <c r="Q210" i="8" s="1"/>
  <c r="I210" i="8"/>
  <c r="H210" i="8"/>
  <c r="G210" i="8"/>
  <c r="P210" i="8" s="1"/>
  <c r="F210" i="8"/>
  <c r="O210" i="8" s="1"/>
  <c r="M209" i="8"/>
  <c r="L209" i="8"/>
  <c r="R209" i="8" s="1"/>
  <c r="K209" i="8"/>
  <c r="J209" i="8"/>
  <c r="Q209" i="8" s="1"/>
  <c r="I209" i="8"/>
  <c r="H209" i="8"/>
  <c r="G209" i="8"/>
  <c r="P209" i="8" s="1"/>
  <c r="F209" i="8"/>
  <c r="O209" i="8" s="1"/>
  <c r="M208" i="8"/>
  <c r="L208" i="8"/>
  <c r="R208" i="8" s="1"/>
  <c r="K208" i="8"/>
  <c r="J208" i="8"/>
  <c r="Q208" i="8" s="1"/>
  <c r="I208" i="8"/>
  <c r="H208" i="8"/>
  <c r="G208" i="8"/>
  <c r="P208" i="8" s="1"/>
  <c r="F208" i="8"/>
  <c r="O208" i="8" s="1"/>
  <c r="O207" i="8"/>
  <c r="M207" i="8"/>
  <c r="L207" i="8"/>
  <c r="R207" i="8" s="1"/>
  <c r="K207" i="8"/>
  <c r="J207" i="8"/>
  <c r="Q207" i="8" s="1"/>
  <c r="I207" i="8"/>
  <c r="H207" i="8"/>
  <c r="G207" i="8"/>
  <c r="P207" i="8" s="1"/>
  <c r="F207" i="8"/>
  <c r="M206" i="8"/>
  <c r="L206" i="8"/>
  <c r="R206" i="8" s="1"/>
  <c r="K206" i="8"/>
  <c r="J206" i="8"/>
  <c r="Q206" i="8" s="1"/>
  <c r="I206" i="8"/>
  <c r="H206" i="8"/>
  <c r="G206" i="8"/>
  <c r="P206" i="8" s="1"/>
  <c r="F206" i="8"/>
  <c r="O206" i="8" s="1"/>
  <c r="M205" i="8"/>
  <c r="L205" i="8"/>
  <c r="R205" i="8" s="1"/>
  <c r="K205" i="8"/>
  <c r="J205" i="8"/>
  <c r="Q205" i="8" s="1"/>
  <c r="I205" i="8"/>
  <c r="H205" i="8"/>
  <c r="G205" i="8"/>
  <c r="P205" i="8" s="1"/>
  <c r="F205" i="8"/>
  <c r="O205" i="8" s="1"/>
  <c r="M204" i="8"/>
  <c r="L204" i="8"/>
  <c r="R204" i="8" s="1"/>
  <c r="K204" i="8"/>
  <c r="J204" i="8"/>
  <c r="Q204" i="8" s="1"/>
  <c r="I204" i="8"/>
  <c r="H204" i="8"/>
  <c r="G204" i="8"/>
  <c r="P204" i="8" s="1"/>
  <c r="F204" i="8"/>
  <c r="O204" i="8" s="1"/>
  <c r="Q203" i="8"/>
  <c r="M203" i="8"/>
  <c r="L203" i="8"/>
  <c r="R203" i="8" s="1"/>
  <c r="K203" i="8"/>
  <c r="J203" i="8"/>
  <c r="I203" i="8"/>
  <c r="H203" i="8"/>
  <c r="G203" i="8"/>
  <c r="P203" i="8" s="1"/>
  <c r="F203" i="8"/>
  <c r="O203" i="8" s="1"/>
  <c r="M200" i="8"/>
  <c r="L200" i="8"/>
  <c r="R200" i="8" s="1"/>
  <c r="K200" i="8"/>
  <c r="J200" i="8"/>
  <c r="Q200" i="8" s="1"/>
  <c r="I200" i="8"/>
  <c r="H200" i="8"/>
  <c r="G200" i="8"/>
  <c r="P200" i="8" s="1"/>
  <c r="F200" i="8"/>
  <c r="O200" i="8" s="1"/>
  <c r="M199" i="8"/>
  <c r="L199" i="8"/>
  <c r="R199" i="8" s="1"/>
  <c r="K199" i="8"/>
  <c r="J199" i="8"/>
  <c r="Q199" i="8" s="1"/>
  <c r="I199" i="8"/>
  <c r="H199" i="8"/>
  <c r="G199" i="8"/>
  <c r="P199" i="8" s="1"/>
  <c r="F199" i="8"/>
  <c r="O199" i="8" s="1"/>
  <c r="M198" i="8"/>
  <c r="L198" i="8"/>
  <c r="R198" i="8" s="1"/>
  <c r="K198" i="8"/>
  <c r="J198" i="8"/>
  <c r="Q198" i="8" s="1"/>
  <c r="I198" i="8"/>
  <c r="H198" i="8"/>
  <c r="G198" i="8"/>
  <c r="P198" i="8" s="1"/>
  <c r="F198" i="8"/>
  <c r="O198" i="8" s="1"/>
  <c r="M197" i="8"/>
  <c r="L197" i="8"/>
  <c r="R197" i="8" s="1"/>
  <c r="K197" i="8"/>
  <c r="J197" i="8"/>
  <c r="Q197" i="8" s="1"/>
  <c r="I197" i="8"/>
  <c r="H197" i="8"/>
  <c r="G197" i="8"/>
  <c r="P197" i="8" s="1"/>
  <c r="F197" i="8"/>
  <c r="O197" i="8" s="1"/>
  <c r="M196" i="8"/>
  <c r="L196" i="8"/>
  <c r="R196" i="8" s="1"/>
  <c r="K196" i="8"/>
  <c r="J196" i="8"/>
  <c r="Q196" i="8" s="1"/>
  <c r="I196" i="8"/>
  <c r="H196" i="8"/>
  <c r="G196" i="8"/>
  <c r="P196" i="8" s="1"/>
  <c r="F196" i="8"/>
  <c r="O196" i="8" s="1"/>
  <c r="M195" i="8"/>
  <c r="L195" i="8"/>
  <c r="R195" i="8" s="1"/>
  <c r="K195" i="8"/>
  <c r="J195" i="8"/>
  <c r="Q195" i="8" s="1"/>
  <c r="I195" i="8"/>
  <c r="H195" i="8"/>
  <c r="G195" i="8"/>
  <c r="P195" i="8" s="1"/>
  <c r="F195" i="8"/>
  <c r="O195" i="8" s="1"/>
  <c r="M194" i="8"/>
  <c r="L194" i="8"/>
  <c r="R194" i="8" s="1"/>
  <c r="K194" i="8"/>
  <c r="J194" i="8"/>
  <c r="Q194" i="8" s="1"/>
  <c r="I194" i="8"/>
  <c r="H194" i="8"/>
  <c r="G194" i="8"/>
  <c r="P194" i="8" s="1"/>
  <c r="F194" i="8"/>
  <c r="O194" i="8" s="1"/>
  <c r="M193" i="8"/>
  <c r="L193" i="8"/>
  <c r="R193" i="8" s="1"/>
  <c r="K193" i="8"/>
  <c r="J193" i="8"/>
  <c r="Q193" i="8" s="1"/>
  <c r="I193" i="8"/>
  <c r="H193" i="8"/>
  <c r="G193" i="8"/>
  <c r="P193" i="8" s="1"/>
  <c r="F193" i="8"/>
  <c r="O193" i="8" s="1"/>
  <c r="M192" i="8"/>
  <c r="L192" i="8"/>
  <c r="R192" i="8" s="1"/>
  <c r="K192" i="8"/>
  <c r="J192" i="8"/>
  <c r="Q192" i="8" s="1"/>
  <c r="I192" i="8"/>
  <c r="H192" i="8"/>
  <c r="G192" i="8"/>
  <c r="P192" i="8" s="1"/>
  <c r="F192" i="8"/>
  <c r="O192" i="8" s="1"/>
  <c r="M191" i="8"/>
  <c r="L191" i="8"/>
  <c r="R191" i="8" s="1"/>
  <c r="K191" i="8"/>
  <c r="J191" i="8"/>
  <c r="Q191" i="8" s="1"/>
  <c r="I191" i="8"/>
  <c r="H191" i="8"/>
  <c r="G191" i="8"/>
  <c r="P191" i="8" s="1"/>
  <c r="F191" i="8"/>
  <c r="O191" i="8" s="1"/>
  <c r="R190" i="8"/>
  <c r="M190" i="8"/>
  <c r="L190" i="8"/>
  <c r="K190" i="8"/>
  <c r="J190" i="8"/>
  <c r="Q190" i="8" s="1"/>
  <c r="I190" i="8"/>
  <c r="H190" i="8"/>
  <c r="G190" i="8"/>
  <c r="P190" i="8" s="1"/>
  <c r="F190" i="8"/>
  <c r="O190" i="8" s="1"/>
  <c r="M189" i="8"/>
  <c r="L189" i="8"/>
  <c r="R189" i="8" s="1"/>
  <c r="K189" i="8"/>
  <c r="J189" i="8"/>
  <c r="Q189" i="8" s="1"/>
  <c r="I189" i="8"/>
  <c r="H189" i="8"/>
  <c r="G189" i="8"/>
  <c r="P189" i="8" s="1"/>
  <c r="F189" i="8"/>
  <c r="O189" i="8" s="1"/>
  <c r="R188" i="8"/>
  <c r="M188" i="8"/>
  <c r="L188" i="8"/>
  <c r="K188" i="8"/>
  <c r="J188" i="8"/>
  <c r="Q188" i="8" s="1"/>
  <c r="I188" i="8"/>
  <c r="H188" i="8"/>
  <c r="G188" i="8"/>
  <c r="P188" i="8" s="1"/>
  <c r="F188" i="8"/>
  <c r="O188" i="8" s="1"/>
  <c r="M187" i="8"/>
  <c r="L187" i="8"/>
  <c r="R187" i="8" s="1"/>
  <c r="K187" i="8"/>
  <c r="J187" i="8"/>
  <c r="Q187" i="8" s="1"/>
  <c r="I187" i="8"/>
  <c r="H187" i="8"/>
  <c r="G187" i="8"/>
  <c r="P187" i="8" s="1"/>
  <c r="F187" i="8"/>
  <c r="O187" i="8" s="1"/>
  <c r="R186" i="8"/>
  <c r="M186" i="8"/>
  <c r="L186" i="8"/>
  <c r="K186" i="8"/>
  <c r="J186" i="8"/>
  <c r="Q186" i="8" s="1"/>
  <c r="I186" i="8"/>
  <c r="H186" i="8"/>
  <c r="G186" i="8"/>
  <c r="P186" i="8" s="1"/>
  <c r="F186" i="8"/>
  <c r="O186" i="8" s="1"/>
  <c r="M185" i="8"/>
  <c r="L185" i="8"/>
  <c r="R185" i="8" s="1"/>
  <c r="K185" i="8"/>
  <c r="J185" i="8"/>
  <c r="Q185" i="8" s="1"/>
  <c r="I185" i="8"/>
  <c r="H185" i="8"/>
  <c r="G185" i="8"/>
  <c r="P185" i="8" s="1"/>
  <c r="F185" i="8"/>
  <c r="O185" i="8" s="1"/>
  <c r="R184" i="8"/>
  <c r="M184" i="8"/>
  <c r="L184" i="8"/>
  <c r="K184" i="8"/>
  <c r="J184" i="8"/>
  <c r="Q184" i="8" s="1"/>
  <c r="I184" i="8"/>
  <c r="H184" i="8"/>
  <c r="G184" i="8"/>
  <c r="P184" i="8" s="1"/>
  <c r="F184" i="8"/>
  <c r="O184" i="8" s="1"/>
  <c r="O183" i="8"/>
  <c r="M183" i="8"/>
  <c r="L183" i="8"/>
  <c r="R183" i="8" s="1"/>
  <c r="K183" i="8"/>
  <c r="J183" i="8"/>
  <c r="Q183" i="8" s="1"/>
  <c r="I183" i="8"/>
  <c r="H183" i="8"/>
  <c r="G183" i="8"/>
  <c r="P183" i="8" s="1"/>
  <c r="F183" i="8"/>
  <c r="R180" i="8"/>
  <c r="M180" i="8"/>
  <c r="L180" i="8"/>
  <c r="K180" i="8"/>
  <c r="J180" i="8"/>
  <c r="Q180" i="8" s="1"/>
  <c r="I180" i="8"/>
  <c r="H180" i="8"/>
  <c r="G180" i="8"/>
  <c r="P180" i="8" s="1"/>
  <c r="F180" i="8"/>
  <c r="O180" i="8" s="1"/>
  <c r="M179" i="8"/>
  <c r="L179" i="8"/>
  <c r="R179" i="8" s="1"/>
  <c r="K179" i="8"/>
  <c r="J179" i="8"/>
  <c r="Q179" i="8" s="1"/>
  <c r="I179" i="8"/>
  <c r="H179" i="8"/>
  <c r="G179" i="8"/>
  <c r="P179" i="8" s="1"/>
  <c r="F179" i="8"/>
  <c r="O179" i="8" s="1"/>
  <c r="R178" i="8"/>
  <c r="M178" i="8"/>
  <c r="L178" i="8"/>
  <c r="K178" i="8"/>
  <c r="J178" i="8"/>
  <c r="Q178" i="8" s="1"/>
  <c r="I178" i="8"/>
  <c r="H178" i="8"/>
  <c r="G178" i="8"/>
  <c r="P178" i="8" s="1"/>
  <c r="F178" i="8"/>
  <c r="O178" i="8" s="1"/>
  <c r="M177" i="8"/>
  <c r="L177" i="8"/>
  <c r="R177" i="8" s="1"/>
  <c r="K177" i="8"/>
  <c r="J177" i="8"/>
  <c r="Q177" i="8" s="1"/>
  <c r="I177" i="8"/>
  <c r="H177" i="8"/>
  <c r="G177" i="8"/>
  <c r="P177" i="8" s="1"/>
  <c r="F177" i="8"/>
  <c r="O177" i="8" s="1"/>
  <c r="M176" i="8"/>
  <c r="L176" i="8"/>
  <c r="R176" i="8" s="1"/>
  <c r="K176" i="8"/>
  <c r="J176" i="8"/>
  <c r="Q176" i="8" s="1"/>
  <c r="I176" i="8"/>
  <c r="H176" i="8"/>
  <c r="G176" i="8"/>
  <c r="P176" i="8" s="1"/>
  <c r="F176" i="8"/>
  <c r="O176" i="8" s="1"/>
  <c r="M175" i="8"/>
  <c r="L175" i="8"/>
  <c r="R175" i="8" s="1"/>
  <c r="K175" i="8"/>
  <c r="J175" i="8"/>
  <c r="Q175" i="8" s="1"/>
  <c r="I175" i="8"/>
  <c r="H175" i="8"/>
  <c r="G175" i="8"/>
  <c r="P175" i="8" s="1"/>
  <c r="F175" i="8"/>
  <c r="O175" i="8" s="1"/>
  <c r="M174" i="8"/>
  <c r="L174" i="8"/>
  <c r="R174" i="8" s="1"/>
  <c r="K174" i="8"/>
  <c r="J174" i="8"/>
  <c r="Q174" i="8" s="1"/>
  <c r="I174" i="8"/>
  <c r="H174" i="8"/>
  <c r="G174" i="8"/>
  <c r="P174" i="8" s="1"/>
  <c r="F174" i="8"/>
  <c r="O174" i="8" s="1"/>
  <c r="M173" i="8"/>
  <c r="L173" i="8"/>
  <c r="R173" i="8" s="1"/>
  <c r="K173" i="8"/>
  <c r="J173" i="8"/>
  <c r="Q173" i="8" s="1"/>
  <c r="I173" i="8"/>
  <c r="H173" i="8"/>
  <c r="G173" i="8"/>
  <c r="P173" i="8" s="1"/>
  <c r="F173" i="8"/>
  <c r="O173" i="8" s="1"/>
  <c r="M172" i="8"/>
  <c r="L172" i="8"/>
  <c r="R172" i="8" s="1"/>
  <c r="K172" i="8"/>
  <c r="J172" i="8"/>
  <c r="Q172" i="8" s="1"/>
  <c r="I172" i="8"/>
  <c r="H172" i="8"/>
  <c r="G172" i="8"/>
  <c r="P172" i="8" s="1"/>
  <c r="F172" i="8"/>
  <c r="O172" i="8" s="1"/>
  <c r="M171" i="8"/>
  <c r="L171" i="8"/>
  <c r="R171" i="8" s="1"/>
  <c r="K171" i="8"/>
  <c r="J171" i="8"/>
  <c r="Q171" i="8" s="1"/>
  <c r="I171" i="8"/>
  <c r="H171" i="8"/>
  <c r="G171" i="8"/>
  <c r="P171" i="8" s="1"/>
  <c r="F171" i="8"/>
  <c r="O171" i="8" s="1"/>
  <c r="M170" i="8"/>
  <c r="L170" i="8"/>
  <c r="R170" i="8" s="1"/>
  <c r="K170" i="8"/>
  <c r="J170" i="8"/>
  <c r="Q170" i="8" s="1"/>
  <c r="I170" i="8"/>
  <c r="H170" i="8"/>
  <c r="G170" i="8"/>
  <c r="P170" i="8" s="1"/>
  <c r="F170" i="8"/>
  <c r="O170" i="8" s="1"/>
  <c r="O169" i="8"/>
  <c r="M169" i="8"/>
  <c r="L169" i="8"/>
  <c r="R169" i="8" s="1"/>
  <c r="K169" i="8"/>
  <c r="J169" i="8"/>
  <c r="Q169" i="8" s="1"/>
  <c r="I169" i="8"/>
  <c r="H169" i="8"/>
  <c r="G169" i="8"/>
  <c r="P169" i="8" s="1"/>
  <c r="F169" i="8"/>
  <c r="M168" i="8"/>
  <c r="L168" i="8"/>
  <c r="R168" i="8" s="1"/>
  <c r="K168" i="8"/>
  <c r="J168" i="8"/>
  <c r="Q168" i="8" s="1"/>
  <c r="I168" i="8"/>
  <c r="H168" i="8"/>
  <c r="G168" i="8"/>
  <c r="P168" i="8" s="1"/>
  <c r="F168" i="8"/>
  <c r="O168" i="8" s="1"/>
  <c r="M167" i="8"/>
  <c r="L167" i="8"/>
  <c r="R167" i="8" s="1"/>
  <c r="K167" i="8"/>
  <c r="J167" i="8"/>
  <c r="Q167" i="8" s="1"/>
  <c r="I167" i="8"/>
  <c r="H167" i="8"/>
  <c r="G167" i="8"/>
  <c r="P167" i="8" s="1"/>
  <c r="F167" i="8"/>
  <c r="O167" i="8" s="1"/>
  <c r="M166" i="8"/>
  <c r="L166" i="8"/>
  <c r="R166" i="8" s="1"/>
  <c r="K166" i="8"/>
  <c r="J166" i="8"/>
  <c r="Q166" i="8" s="1"/>
  <c r="I166" i="8"/>
  <c r="H166" i="8"/>
  <c r="G166" i="8"/>
  <c r="P166" i="8" s="1"/>
  <c r="F166" i="8"/>
  <c r="O166" i="8" s="1"/>
  <c r="M165" i="8"/>
  <c r="L165" i="8"/>
  <c r="R165" i="8" s="1"/>
  <c r="K165" i="8"/>
  <c r="J165" i="8"/>
  <c r="Q165" i="8" s="1"/>
  <c r="I165" i="8"/>
  <c r="H165" i="8"/>
  <c r="G165" i="8"/>
  <c r="P165" i="8" s="1"/>
  <c r="F165" i="8"/>
  <c r="O165" i="8" s="1"/>
  <c r="M164" i="8"/>
  <c r="L164" i="8"/>
  <c r="R164" i="8" s="1"/>
  <c r="K164" i="8"/>
  <c r="J164" i="8"/>
  <c r="Q164" i="8" s="1"/>
  <c r="I164" i="8"/>
  <c r="H164" i="8"/>
  <c r="G164" i="8"/>
  <c r="P164" i="8" s="1"/>
  <c r="F164" i="8"/>
  <c r="O164" i="8" s="1"/>
  <c r="M163" i="8"/>
  <c r="L163" i="8"/>
  <c r="R163" i="8" s="1"/>
  <c r="K163" i="8"/>
  <c r="J163" i="8"/>
  <c r="Q163" i="8" s="1"/>
  <c r="I163" i="8"/>
  <c r="H163" i="8"/>
  <c r="G163" i="8"/>
  <c r="P163" i="8" s="1"/>
  <c r="F163" i="8"/>
  <c r="O163" i="8" s="1"/>
  <c r="M160" i="8"/>
  <c r="L160" i="8"/>
  <c r="R160" i="8" s="1"/>
  <c r="K160" i="8"/>
  <c r="J160" i="8"/>
  <c r="Q160" i="8" s="1"/>
  <c r="I160" i="8"/>
  <c r="H160" i="8"/>
  <c r="G160" i="8"/>
  <c r="P160" i="8" s="1"/>
  <c r="F160" i="8"/>
  <c r="O160" i="8" s="1"/>
  <c r="M159" i="8"/>
  <c r="L159" i="8"/>
  <c r="R159" i="8" s="1"/>
  <c r="K159" i="8"/>
  <c r="J159" i="8"/>
  <c r="Q159" i="8" s="1"/>
  <c r="I159" i="8"/>
  <c r="H159" i="8"/>
  <c r="G159" i="8"/>
  <c r="P159" i="8" s="1"/>
  <c r="F159" i="8"/>
  <c r="O159" i="8" s="1"/>
  <c r="M158" i="8"/>
  <c r="L158" i="8"/>
  <c r="R158" i="8" s="1"/>
  <c r="K158" i="8"/>
  <c r="J158" i="8"/>
  <c r="Q158" i="8" s="1"/>
  <c r="I158" i="8"/>
  <c r="H158" i="8"/>
  <c r="G158" i="8"/>
  <c r="P158" i="8" s="1"/>
  <c r="F158" i="8"/>
  <c r="O158" i="8" s="1"/>
  <c r="M157" i="8"/>
  <c r="L157" i="8"/>
  <c r="R157" i="8" s="1"/>
  <c r="K157" i="8"/>
  <c r="J157" i="8"/>
  <c r="Q157" i="8" s="1"/>
  <c r="I157" i="8"/>
  <c r="H157" i="8"/>
  <c r="G157" i="8"/>
  <c r="P157" i="8" s="1"/>
  <c r="F157" i="8"/>
  <c r="O157" i="8" s="1"/>
  <c r="M156" i="8"/>
  <c r="L156" i="8"/>
  <c r="R156" i="8" s="1"/>
  <c r="K156" i="8"/>
  <c r="J156" i="8"/>
  <c r="Q156" i="8" s="1"/>
  <c r="I156" i="8"/>
  <c r="H156" i="8"/>
  <c r="G156" i="8"/>
  <c r="P156" i="8" s="1"/>
  <c r="F156" i="8"/>
  <c r="O156" i="8" s="1"/>
  <c r="R155" i="8"/>
  <c r="M155" i="8"/>
  <c r="L155" i="8"/>
  <c r="K155" i="8"/>
  <c r="J155" i="8"/>
  <c r="Q155" i="8" s="1"/>
  <c r="I155" i="8"/>
  <c r="H155" i="8"/>
  <c r="G155" i="8"/>
  <c r="P155" i="8" s="1"/>
  <c r="F155" i="8"/>
  <c r="O155" i="8" s="1"/>
  <c r="M154" i="8"/>
  <c r="L154" i="8"/>
  <c r="R154" i="8" s="1"/>
  <c r="K154" i="8"/>
  <c r="J154" i="8"/>
  <c r="Q154" i="8" s="1"/>
  <c r="I154" i="8"/>
  <c r="H154" i="8"/>
  <c r="G154" i="8"/>
  <c r="P154" i="8" s="1"/>
  <c r="F154" i="8"/>
  <c r="O154" i="8" s="1"/>
  <c r="O153" i="8"/>
  <c r="M153" i="8"/>
  <c r="L153" i="8"/>
  <c r="R153" i="8" s="1"/>
  <c r="K153" i="8"/>
  <c r="J153" i="8"/>
  <c r="Q153" i="8" s="1"/>
  <c r="I153" i="8"/>
  <c r="H153" i="8"/>
  <c r="G153" i="8"/>
  <c r="P153" i="8" s="1"/>
  <c r="F153" i="8"/>
  <c r="R152" i="8"/>
  <c r="M152" i="8"/>
  <c r="L152" i="8"/>
  <c r="K152" i="8"/>
  <c r="J152" i="8"/>
  <c r="Q152" i="8" s="1"/>
  <c r="I152" i="8"/>
  <c r="H152" i="8"/>
  <c r="G152" i="8"/>
  <c r="P152" i="8" s="1"/>
  <c r="F152" i="8"/>
  <c r="O152" i="8" s="1"/>
  <c r="M151" i="8"/>
  <c r="L151" i="8"/>
  <c r="R151" i="8" s="1"/>
  <c r="K151" i="8"/>
  <c r="J151" i="8"/>
  <c r="Q151" i="8" s="1"/>
  <c r="I151" i="8"/>
  <c r="H151" i="8"/>
  <c r="G151" i="8"/>
  <c r="P151" i="8" s="1"/>
  <c r="F151" i="8"/>
  <c r="O151" i="8" s="1"/>
  <c r="R150" i="8"/>
  <c r="M150" i="8"/>
  <c r="L150" i="8"/>
  <c r="K150" i="8"/>
  <c r="J150" i="8"/>
  <c r="Q150" i="8" s="1"/>
  <c r="I150" i="8"/>
  <c r="H150" i="8"/>
  <c r="G150" i="8"/>
  <c r="P150" i="8" s="1"/>
  <c r="F150" i="8"/>
  <c r="O150" i="8" s="1"/>
  <c r="M149" i="8"/>
  <c r="L149" i="8"/>
  <c r="R149" i="8" s="1"/>
  <c r="K149" i="8"/>
  <c r="J149" i="8"/>
  <c r="Q149" i="8" s="1"/>
  <c r="I149" i="8"/>
  <c r="H149" i="8"/>
  <c r="G149" i="8"/>
  <c r="P149" i="8" s="1"/>
  <c r="F149" i="8"/>
  <c r="O149" i="8" s="1"/>
  <c r="R148" i="8"/>
  <c r="M148" i="8"/>
  <c r="L148" i="8"/>
  <c r="K148" i="8"/>
  <c r="J148" i="8"/>
  <c r="Q148" i="8" s="1"/>
  <c r="I148" i="8"/>
  <c r="H148" i="8"/>
  <c r="G148" i="8"/>
  <c r="P148" i="8" s="1"/>
  <c r="F148" i="8"/>
  <c r="O148" i="8" s="1"/>
  <c r="M147" i="8"/>
  <c r="L147" i="8"/>
  <c r="R147" i="8" s="1"/>
  <c r="K147" i="8"/>
  <c r="J147" i="8"/>
  <c r="Q147" i="8" s="1"/>
  <c r="I147" i="8"/>
  <c r="H147" i="8"/>
  <c r="G147" i="8"/>
  <c r="P147" i="8" s="1"/>
  <c r="F147" i="8"/>
  <c r="O147" i="8" s="1"/>
  <c r="R146" i="8"/>
  <c r="M146" i="8"/>
  <c r="L146" i="8"/>
  <c r="K146" i="8"/>
  <c r="J146" i="8"/>
  <c r="Q146" i="8" s="1"/>
  <c r="I146" i="8"/>
  <c r="H146" i="8"/>
  <c r="G146" i="8"/>
  <c r="P146" i="8" s="1"/>
  <c r="F146" i="8"/>
  <c r="O146" i="8" s="1"/>
  <c r="O145" i="8"/>
  <c r="M145" i="8"/>
  <c r="L145" i="8"/>
  <c r="R145" i="8" s="1"/>
  <c r="K145" i="8"/>
  <c r="J145" i="8"/>
  <c r="Q145" i="8" s="1"/>
  <c r="I145" i="8"/>
  <c r="H145" i="8"/>
  <c r="G145" i="8"/>
  <c r="P145" i="8" s="1"/>
  <c r="F145" i="8"/>
  <c r="R144" i="8"/>
  <c r="M144" i="8"/>
  <c r="L144" i="8"/>
  <c r="K144" i="8"/>
  <c r="J144" i="8"/>
  <c r="Q144" i="8" s="1"/>
  <c r="I144" i="8"/>
  <c r="H144" i="8"/>
  <c r="G144" i="8"/>
  <c r="P144" i="8" s="1"/>
  <c r="F144" i="8"/>
  <c r="O144" i="8" s="1"/>
  <c r="M143" i="8"/>
  <c r="L143" i="8"/>
  <c r="R143" i="8" s="1"/>
  <c r="K143" i="8"/>
  <c r="J143" i="8"/>
  <c r="Q143" i="8" s="1"/>
  <c r="I143" i="8"/>
  <c r="H143" i="8"/>
  <c r="G143" i="8"/>
  <c r="P143" i="8" s="1"/>
  <c r="F143" i="8"/>
  <c r="O143" i="8" s="1"/>
  <c r="M140" i="8"/>
  <c r="L140" i="8"/>
  <c r="R140" i="8" s="1"/>
  <c r="K140" i="8"/>
  <c r="J140" i="8"/>
  <c r="Q140" i="8" s="1"/>
  <c r="I140" i="8"/>
  <c r="H140" i="8"/>
  <c r="G140" i="8"/>
  <c r="P140" i="8" s="1"/>
  <c r="F140" i="8"/>
  <c r="O140" i="8" s="1"/>
  <c r="M139" i="8"/>
  <c r="L139" i="8"/>
  <c r="R139" i="8" s="1"/>
  <c r="K139" i="8"/>
  <c r="J139" i="8"/>
  <c r="Q139" i="8" s="1"/>
  <c r="I139" i="8"/>
  <c r="H139" i="8"/>
  <c r="G139" i="8"/>
  <c r="P139" i="8" s="1"/>
  <c r="F139" i="8"/>
  <c r="O139" i="8" s="1"/>
  <c r="M138" i="8"/>
  <c r="L138" i="8"/>
  <c r="R138" i="8" s="1"/>
  <c r="K138" i="8"/>
  <c r="J138" i="8"/>
  <c r="Q138" i="8" s="1"/>
  <c r="I138" i="8"/>
  <c r="H138" i="8"/>
  <c r="G138" i="8"/>
  <c r="P138" i="8" s="1"/>
  <c r="F138" i="8"/>
  <c r="O138" i="8" s="1"/>
  <c r="M137" i="8"/>
  <c r="L137" i="8"/>
  <c r="R137" i="8" s="1"/>
  <c r="K137" i="8"/>
  <c r="J137" i="8"/>
  <c r="Q137" i="8" s="1"/>
  <c r="I137" i="8"/>
  <c r="H137" i="8"/>
  <c r="G137" i="8"/>
  <c r="P137" i="8" s="1"/>
  <c r="F137" i="8"/>
  <c r="O137" i="8" s="1"/>
  <c r="M136" i="8"/>
  <c r="L136" i="8"/>
  <c r="R136" i="8" s="1"/>
  <c r="K136" i="8"/>
  <c r="J136" i="8"/>
  <c r="Q136" i="8" s="1"/>
  <c r="I136" i="8"/>
  <c r="H136" i="8"/>
  <c r="G136" i="8"/>
  <c r="P136" i="8" s="1"/>
  <c r="F136" i="8"/>
  <c r="O136" i="8" s="1"/>
  <c r="M135" i="8"/>
  <c r="L135" i="8"/>
  <c r="R135" i="8" s="1"/>
  <c r="K135" i="8"/>
  <c r="J135" i="8"/>
  <c r="Q135" i="8" s="1"/>
  <c r="I135" i="8"/>
  <c r="H135" i="8"/>
  <c r="G135" i="8"/>
  <c r="P135" i="8" s="1"/>
  <c r="F135" i="8"/>
  <c r="O135" i="8" s="1"/>
  <c r="M134" i="8"/>
  <c r="L134" i="8"/>
  <c r="R134" i="8" s="1"/>
  <c r="K134" i="8"/>
  <c r="J134" i="8"/>
  <c r="Q134" i="8" s="1"/>
  <c r="I134" i="8"/>
  <c r="H134" i="8"/>
  <c r="G134" i="8"/>
  <c r="P134" i="8" s="1"/>
  <c r="F134" i="8"/>
  <c r="O134" i="8" s="1"/>
  <c r="M133" i="8"/>
  <c r="L133" i="8"/>
  <c r="R133" i="8" s="1"/>
  <c r="K133" i="8"/>
  <c r="J133" i="8"/>
  <c r="Q133" i="8" s="1"/>
  <c r="I133" i="8"/>
  <c r="H133" i="8"/>
  <c r="G133" i="8"/>
  <c r="P133" i="8" s="1"/>
  <c r="F133" i="8"/>
  <c r="O133" i="8" s="1"/>
  <c r="M132" i="8"/>
  <c r="L132" i="8"/>
  <c r="R132" i="8" s="1"/>
  <c r="K132" i="8"/>
  <c r="J132" i="8"/>
  <c r="Q132" i="8" s="1"/>
  <c r="I132" i="8"/>
  <c r="H132" i="8"/>
  <c r="G132" i="8"/>
  <c r="P132" i="8" s="1"/>
  <c r="F132" i="8"/>
  <c r="O132" i="8" s="1"/>
  <c r="M131" i="8"/>
  <c r="L131" i="8"/>
  <c r="R131" i="8" s="1"/>
  <c r="K131" i="8"/>
  <c r="J131" i="8"/>
  <c r="Q131" i="8" s="1"/>
  <c r="I131" i="8"/>
  <c r="H131" i="8"/>
  <c r="G131" i="8"/>
  <c r="P131" i="8" s="1"/>
  <c r="F131" i="8"/>
  <c r="O131" i="8" s="1"/>
  <c r="M130" i="8"/>
  <c r="L130" i="8"/>
  <c r="R130" i="8" s="1"/>
  <c r="K130" i="8"/>
  <c r="J130" i="8"/>
  <c r="Q130" i="8" s="1"/>
  <c r="I130" i="8"/>
  <c r="H130" i="8"/>
  <c r="G130" i="8"/>
  <c r="P130" i="8" s="1"/>
  <c r="F130" i="8"/>
  <c r="O130" i="8" s="1"/>
  <c r="O129" i="8"/>
  <c r="M129" i="8"/>
  <c r="L129" i="8"/>
  <c r="R129" i="8" s="1"/>
  <c r="K129" i="8"/>
  <c r="J129" i="8"/>
  <c r="Q129" i="8" s="1"/>
  <c r="I129" i="8"/>
  <c r="H129" i="8"/>
  <c r="G129" i="8"/>
  <c r="P129" i="8" s="1"/>
  <c r="F129" i="8"/>
  <c r="M128" i="8"/>
  <c r="L128" i="8"/>
  <c r="R128" i="8" s="1"/>
  <c r="K128" i="8"/>
  <c r="J128" i="8"/>
  <c r="Q128" i="8" s="1"/>
  <c r="I128" i="8"/>
  <c r="H128" i="8"/>
  <c r="G128" i="8"/>
  <c r="P128" i="8" s="1"/>
  <c r="F128" i="8"/>
  <c r="O128" i="8" s="1"/>
  <c r="M127" i="8"/>
  <c r="L127" i="8"/>
  <c r="R127" i="8" s="1"/>
  <c r="K127" i="8"/>
  <c r="J127" i="8"/>
  <c r="Q127" i="8" s="1"/>
  <c r="I127" i="8"/>
  <c r="H127" i="8"/>
  <c r="G127" i="8"/>
  <c r="P127" i="8" s="1"/>
  <c r="F127" i="8"/>
  <c r="O127" i="8" s="1"/>
  <c r="R126" i="8"/>
  <c r="M126" i="8"/>
  <c r="L126" i="8"/>
  <c r="K126" i="8"/>
  <c r="J126" i="8"/>
  <c r="Q126" i="8" s="1"/>
  <c r="I126" i="8"/>
  <c r="H126" i="8"/>
  <c r="G126" i="8"/>
  <c r="P126" i="8" s="1"/>
  <c r="F126" i="8"/>
  <c r="O126" i="8" s="1"/>
  <c r="M125" i="8"/>
  <c r="L125" i="8"/>
  <c r="R125" i="8" s="1"/>
  <c r="K125" i="8"/>
  <c r="J125" i="8"/>
  <c r="Q125" i="8" s="1"/>
  <c r="I125" i="8"/>
  <c r="H125" i="8"/>
  <c r="G125" i="8"/>
  <c r="P125" i="8" s="1"/>
  <c r="F125" i="8"/>
  <c r="O125" i="8" s="1"/>
  <c r="R124" i="8"/>
  <c r="M124" i="8"/>
  <c r="L124" i="8"/>
  <c r="K124" i="8"/>
  <c r="J124" i="8"/>
  <c r="Q124" i="8" s="1"/>
  <c r="I124" i="8"/>
  <c r="H124" i="8"/>
  <c r="G124" i="8"/>
  <c r="P124" i="8" s="1"/>
  <c r="F124" i="8"/>
  <c r="O124" i="8" s="1"/>
  <c r="M123" i="8"/>
  <c r="L123" i="8"/>
  <c r="R123" i="8" s="1"/>
  <c r="K123" i="8"/>
  <c r="J123" i="8"/>
  <c r="Q123" i="8" s="1"/>
  <c r="I123" i="8"/>
  <c r="H123" i="8"/>
  <c r="G123" i="8"/>
  <c r="P123" i="8" s="1"/>
  <c r="F123" i="8"/>
  <c r="O123" i="8" s="1"/>
  <c r="M120" i="8"/>
  <c r="L120" i="8"/>
  <c r="R120" i="8" s="1"/>
  <c r="K120" i="8"/>
  <c r="J120" i="8"/>
  <c r="Q120" i="8" s="1"/>
  <c r="I120" i="8"/>
  <c r="H120" i="8"/>
  <c r="G120" i="8"/>
  <c r="P120" i="8" s="1"/>
  <c r="F120" i="8"/>
  <c r="O120" i="8" s="1"/>
  <c r="M119" i="8"/>
  <c r="L119" i="8"/>
  <c r="R119" i="8" s="1"/>
  <c r="K119" i="8"/>
  <c r="J119" i="8"/>
  <c r="Q119" i="8" s="1"/>
  <c r="I119" i="8"/>
  <c r="H119" i="8"/>
  <c r="G119" i="8"/>
  <c r="P119" i="8" s="1"/>
  <c r="F119" i="8"/>
  <c r="O119" i="8" s="1"/>
  <c r="M118" i="8"/>
  <c r="L118" i="8"/>
  <c r="R118" i="8" s="1"/>
  <c r="K118" i="8"/>
  <c r="J118" i="8"/>
  <c r="Q118" i="8" s="1"/>
  <c r="I118" i="8"/>
  <c r="H118" i="8"/>
  <c r="G118" i="8"/>
  <c r="P118" i="8" s="1"/>
  <c r="F118" i="8"/>
  <c r="O118" i="8" s="1"/>
  <c r="M117" i="8"/>
  <c r="R117" i="8" s="1"/>
  <c r="L117" i="8"/>
  <c r="K117" i="8"/>
  <c r="J117" i="8"/>
  <c r="Q117" i="8" s="1"/>
  <c r="I117" i="8"/>
  <c r="H117" i="8"/>
  <c r="G117" i="8"/>
  <c r="P117" i="8" s="1"/>
  <c r="F117" i="8"/>
  <c r="O117" i="8" s="1"/>
  <c r="M116" i="8"/>
  <c r="L116" i="8"/>
  <c r="R116" i="8" s="1"/>
  <c r="K116" i="8"/>
  <c r="J116" i="8"/>
  <c r="Q116" i="8" s="1"/>
  <c r="I116" i="8"/>
  <c r="H116" i="8"/>
  <c r="G116" i="8"/>
  <c r="P116" i="8" s="1"/>
  <c r="F116" i="8"/>
  <c r="O116" i="8" s="1"/>
  <c r="O115" i="8"/>
  <c r="M115" i="8"/>
  <c r="L115" i="8"/>
  <c r="R115" i="8" s="1"/>
  <c r="K115" i="8"/>
  <c r="J115" i="8"/>
  <c r="Q115" i="8" s="1"/>
  <c r="I115" i="8"/>
  <c r="H115" i="8"/>
  <c r="G115" i="8"/>
  <c r="P115" i="8" s="1"/>
  <c r="F115" i="8"/>
  <c r="M114" i="8"/>
  <c r="L114" i="8"/>
  <c r="R114" i="8" s="1"/>
  <c r="K114" i="8"/>
  <c r="J114" i="8"/>
  <c r="Q114" i="8" s="1"/>
  <c r="I114" i="8"/>
  <c r="H114" i="8"/>
  <c r="G114" i="8"/>
  <c r="P114" i="8" s="1"/>
  <c r="F114" i="8"/>
  <c r="O114" i="8" s="1"/>
  <c r="M113" i="8"/>
  <c r="R113" i="8" s="1"/>
  <c r="L113" i="8"/>
  <c r="K113" i="8"/>
  <c r="J113" i="8"/>
  <c r="Q113" i="8" s="1"/>
  <c r="I113" i="8"/>
  <c r="H113" i="8"/>
  <c r="G113" i="8"/>
  <c r="P113" i="8" s="1"/>
  <c r="F113" i="8"/>
  <c r="O113" i="8" s="1"/>
  <c r="R112" i="8"/>
  <c r="M112" i="8"/>
  <c r="L112" i="8"/>
  <c r="K112" i="8"/>
  <c r="J112" i="8"/>
  <c r="Q112" i="8" s="1"/>
  <c r="I112" i="8"/>
  <c r="H112" i="8"/>
  <c r="G112" i="8"/>
  <c r="P112" i="8" s="1"/>
  <c r="F112" i="8"/>
  <c r="O112" i="8" s="1"/>
  <c r="M111" i="8"/>
  <c r="L111" i="8"/>
  <c r="R111" i="8" s="1"/>
  <c r="K111" i="8"/>
  <c r="J111" i="8"/>
  <c r="Q111" i="8" s="1"/>
  <c r="I111" i="8"/>
  <c r="H111" i="8"/>
  <c r="G111" i="8"/>
  <c r="P111" i="8" s="1"/>
  <c r="F111" i="8"/>
  <c r="O111" i="8" s="1"/>
  <c r="R110" i="8"/>
  <c r="M110" i="8"/>
  <c r="L110" i="8"/>
  <c r="K110" i="8"/>
  <c r="J110" i="8"/>
  <c r="Q110" i="8" s="1"/>
  <c r="I110" i="8"/>
  <c r="H110" i="8"/>
  <c r="G110" i="8"/>
  <c r="P110" i="8" s="1"/>
  <c r="F110" i="8"/>
  <c r="O110" i="8" s="1"/>
  <c r="M109" i="8"/>
  <c r="L109" i="8"/>
  <c r="R109" i="8" s="1"/>
  <c r="K109" i="8"/>
  <c r="J109" i="8"/>
  <c r="Q109" i="8" s="1"/>
  <c r="I109" i="8"/>
  <c r="H109" i="8"/>
  <c r="G109" i="8"/>
  <c r="P109" i="8" s="1"/>
  <c r="F109" i="8"/>
  <c r="O109" i="8" s="1"/>
  <c r="R108" i="8"/>
  <c r="M108" i="8"/>
  <c r="L108" i="8"/>
  <c r="K108" i="8"/>
  <c r="J108" i="8"/>
  <c r="Q108" i="8" s="1"/>
  <c r="I108" i="8"/>
  <c r="H108" i="8"/>
  <c r="G108" i="8"/>
  <c r="P108" i="8" s="1"/>
  <c r="F108" i="8"/>
  <c r="O108" i="8" s="1"/>
  <c r="M107" i="8"/>
  <c r="L107" i="8"/>
  <c r="R107" i="8" s="1"/>
  <c r="K107" i="8"/>
  <c r="J107" i="8"/>
  <c r="Q107" i="8" s="1"/>
  <c r="I107" i="8"/>
  <c r="H107" i="8"/>
  <c r="G107" i="8"/>
  <c r="P107" i="8" s="1"/>
  <c r="F107" i="8"/>
  <c r="O107" i="8" s="1"/>
  <c r="R106" i="8"/>
  <c r="M106" i="8"/>
  <c r="L106" i="8"/>
  <c r="K106" i="8"/>
  <c r="J106" i="8"/>
  <c r="Q106" i="8" s="1"/>
  <c r="I106" i="8"/>
  <c r="H106" i="8"/>
  <c r="G106" i="8"/>
  <c r="P106" i="8" s="1"/>
  <c r="F106" i="8"/>
  <c r="O106" i="8" s="1"/>
  <c r="M105" i="8"/>
  <c r="L105" i="8"/>
  <c r="R105" i="8" s="1"/>
  <c r="K105" i="8"/>
  <c r="J105" i="8"/>
  <c r="Q105" i="8" s="1"/>
  <c r="I105" i="8"/>
  <c r="H105" i="8"/>
  <c r="G105" i="8"/>
  <c r="P105" i="8" s="1"/>
  <c r="F105" i="8"/>
  <c r="O105" i="8" s="1"/>
  <c r="R104" i="8"/>
  <c r="M104" i="8"/>
  <c r="L104" i="8"/>
  <c r="K104" i="8"/>
  <c r="J104" i="8"/>
  <c r="Q104" i="8" s="1"/>
  <c r="I104" i="8"/>
  <c r="H104" i="8"/>
  <c r="G104" i="8"/>
  <c r="P104" i="8" s="1"/>
  <c r="F104" i="8"/>
  <c r="O104" i="8" s="1"/>
  <c r="M103" i="8"/>
  <c r="L103" i="8"/>
  <c r="R103" i="8" s="1"/>
  <c r="K103" i="8"/>
  <c r="J103" i="8"/>
  <c r="Q103" i="8" s="1"/>
  <c r="I103" i="8"/>
  <c r="H103" i="8"/>
  <c r="G103" i="8"/>
  <c r="P103" i="8" s="1"/>
  <c r="F103" i="8"/>
  <c r="O103" i="8" s="1"/>
  <c r="R100" i="8"/>
  <c r="M100" i="8"/>
  <c r="L100" i="8"/>
  <c r="K100" i="8"/>
  <c r="J100" i="8"/>
  <c r="Q100" i="8" s="1"/>
  <c r="I100" i="8"/>
  <c r="H100" i="8"/>
  <c r="G100" i="8"/>
  <c r="P100" i="8" s="1"/>
  <c r="F100" i="8"/>
  <c r="O100" i="8" s="1"/>
  <c r="M99" i="8"/>
  <c r="L99" i="8"/>
  <c r="R99" i="8" s="1"/>
  <c r="K99" i="8"/>
  <c r="J99" i="8"/>
  <c r="Q99" i="8" s="1"/>
  <c r="I99" i="8"/>
  <c r="H99" i="8"/>
  <c r="G99" i="8"/>
  <c r="P99" i="8" s="1"/>
  <c r="F99" i="8"/>
  <c r="O99" i="8" s="1"/>
  <c r="R98" i="8"/>
  <c r="M98" i="8"/>
  <c r="L98" i="8"/>
  <c r="K98" i="8"/>
  <c r="J98" i="8"/>
  <c r="Q98" i="8" s="1"/>
  <c r="I98" i="8"/>
  <c r="H98" i="8"/>
  <c r="G98" i="8"/>
  <c r="P98" i="8" s="1"/>
  <c r="F98" i="8"/>
  <c r="O98" i="8" s="1"/>
  <c r="M97" i="8"/>
  <c r="L97" i="8"/>
  <c r="R97" i="8" s="1"/>
  <c r="K97" i="8"/>
  <c r="J97" i="8"/>
  <c r="Q97" i="8" s="1"/>
  <c r="I97" i="8"/>
  <c r="H97" i="8"/>
  <c r="G97" i="8"/>
  <c r="P97" i="8" s="1"/>
  <c r="F97" i="8"/>
  <c r="O97" i="8" s="1"/>
  <c r="R96" i="8"/>
  <c r="M96" i="8"/>
  <c r="L96" i="8"/>
  <c r="K96" i="8"/>
  <c r="J96" i="8"/>
  <c r="Q96" i="8" s="1"/>
  <c r="I96" i="8"/>
  <c r="H96" i="8"/>
  <c r="G96" i="8"/>
  <c r="P96" i="8" s="1"/>
  <c r="F96" i="8"/>
  <c r="O96" i="8" s="1"/>
  <c r="M95" i="8"/>
  <c r="L95" i="8"/>
  <c r="R95" i="8" s="1"/>
  <c r="K95" i="8"/>
  <c r="J95" i="8"/>
  <c r="Q95" i="8" s="1"/>
  <c r="I95" i="8"/>
  <c r="H95" i="8"/>
  <c r="G95" i="8"/>
  <c r="P95" i="8" s="1"/>
  <c r="F95" i="8"/>
  <c r="O95" i="8" s="1"/>
  <c r="R94" i="8"/>
  <c r="M94" i="8"/>
  <c r="L94" i="8"/>
  <c r="K94" i="8"/>
  <c r="J94" i="8"/>
  <c r="Q94" i="8" s="1"/>
  <c r="I94" i="8"/>
  <c r="H94" i="8"/>
  <c r="G94" i="8"/>
  <c r="P94" i="8" s="1"/>
  <c r="F94" i="8"/>
  <c r="O94" i="8" s="1"/>
  <c r="M93" i="8"/>
  <c r="L93" i="8"/>
  <c r="R93" i="8" s="1"/>
  <c r="K93" i="8"/>
  <c r="J93" i="8"/>
  <c r="Q93" i="8" s="1"/>
  <c r="I93" i="8"/>
  <c r="H93" i="8"/>
  <c r="G93" i="8"/>
  <c r="P93" i="8" s="1"/>
  <c r="F93" i="8"/>
  <c r="O93" i="8" s="1"/>
  <c r="M92" i="8"/>
  <c r="L92" i="8"/>
  <c r="R92" i="8" s="1"/>
  <c r="K92" i="8"/>
  <c r="J92" i="8"/>
  <c r="Q92" i="8" s="1"/>
  <c r="I92" i="8"/>
  <c r="H92" i="8"/>
  <c r="G92" i="8"/>
  <c r="P92" i="8" s="1"/>
  <c r="F92" i="8"/>
  <c r="O92" i="8" s="1"/>
  <c r="M91" i="8"/>
  <c r="L91" i="8"/>
  <c r="R91" i="8" s="1"/>
  <c r="K91" i="8"/>
  <c r="J91" i="8"/>
  <c r="Q91" i="8" s="1"/>
  <c r="I91" i="8"/>
  <c r="H91" i="8"/>
  <c r="G91" i="8"/>
  <c r="P91" i="8" s="1"/>
  <c r="F91" i="8"/>
  <c r="O91" i="8" s="1"/>
  <c r="R90" i="8"/>
  <c r="M90" i="8"/>
  <c r="L90" i="8"/>
  <c r="K90" i="8"/>
  <c r="J90" i="8"/>
  <c r="Q90" i="8" s="1"/>
  <c r="I90" i="8"/>
  <c r="H90" i="8"/>
  <c r="G90" i="8"/>
  <c r="P90" i="8" s="1"/>
  <c r="F90" i="8"/>
  <c r="O90" i="8" s="1"/>
  <c r="M89" i="8"/>
  <c r="L89" i="8"/>
  <c r="R89" i="8" s="1"/>
  <c r="K89" i="8"/>
  <c r="J89" i="8"/>
  <c r="Q89" i="8" s="1"/>
  <c r="I89" i="8"/>
  <c r="H89" i="8"/>
  <c r="G89" i="8"/>
  <c r="P89" i="8" s="1"/>
  <c r="F89" i="8"/>
  <c r="O89" i="8" s="1"/>
  <c r="M88" i="8"/>
  <c r="L88" i="8"/>
  <c r="R88" i="8" s="1"/>
  <c r="K88" i="8"/>
  <c r="J88" i="8"/>
  <c r="Q88" i="8" s="1"/>
  <c r="I88" i="8"/>
  <c r="H88" i="8"/>
  <c r="G88" i="8"/>
  <c r="P88" i="8" s="1"/>
  <c r="F88" i="8"/>
  <c r="O88" i="8" s="1"/>
  <c r="M87" i="8"/>
  <c r="L87" i="8"/>
  <c r="R87" i="8" s="1"/>
  <c r="K87" i="8"/>
  <c r="J87" i="8"/>
  <c r="Q87" i="8" s="1"/>
  <c r="I87" i="8"/>
  <c r="H87" i="8"/>
  <c r="G87" i="8"/>
  <c r="P87" i="8" s="1"/>
  <c r="F87" i="8"/>
  <c r="O87" i="8" s="1"/>
  <c r="M86" i="8"/>
  <c r="L86" i="8"/>
  <c r="R86" i="8" s="1"/>
  <c r="K86" i="8"/>
  <c r="J86" i="8"/>
  <c r="Q86" i="8" s="1"/>
  <c r="I86" i="8"/>
  <c r="H86" i="8"/>
  <c r="G86" i="8"/>
  <c r="P86" i="8" s="1"/>
  <c r="F86" i="8"/>
  <c r="O86" i="8" s="1"/>
  <c r="O85" i="8"/>
  <c r="M85" i="8"/>
  <c r="L85" i="8"/>
  <c r="R85" i="8" s="1"/>
  <c r="K85" i="8"/>
  <c r="J85" i="8"/>
  <c r="Q85" i="8" s="1"/>
  <c r="I85" i="8"/>
  <c r="H85" i="8"/>
  <c r="G85" i="8"/>
  <c r="P85" i="8" s="1"/>
  <c r="F85" i="8"/>
  <c r="M84" i="8"/>
  <c r="L84" i="8"/>
  <c r="R84" i="8" s="1"/>
  <c r="K84" i="8"/>
  <c r="J84" i="8"/>
  <c r="Q84" i="8" s="1"/>
  <c r="I84" i="8"/>
  <c r="H84" i="8"/>
  <c r="G84" i="8"/>
  <c r="P84" i="8" s="1"/>
  <c r="F84" i="8"/>
  <c r="O84" i="8" s="1"/>
  <c r="M83" i="8"/>
  <c r="L83" i="8"/>
  <c r="R83" i="8" s="1"/>
  <c r="K83" i="8"/>
  <c r="J83" i="8"/>
  <c r="Q83" i="8" s="1"/>
  <c r="I83" i="8"/>
  <c r="H83" i="8"/>
  <c r="G83" i="8"/>
  <c r="P83" i="8" s="1"/>
  <c r="F83" i="8"/>
  <c r="O83" i="8" s="1"/>
  <c r="M80" i="8"/>
  <c r="L80" i="8"/>
  <c r="R80" i="8" s="1"/>
  <c r="K80" i="8"/>
  <c r="J80" i="8"/>
  <c r="Q80" i="8" s="1"/>
  <c r="I80" i="8"/>
  <c r="H80" i="8"/>
  <c r="G80" i="8"/>
  <c r="P80" i="8" s="1"/>
  <c r="F80" i="8"/>
  <c r="O80" i="8" s="1"/>
  <c r="M79" i="8"/>
  <c r="L79" i="8"/>
  <c r="R79" i="8" s="1"/>
  <c r="K79" i="8"/>
  <c r="J79" i="8"/>
  <c r="Q79" i="8" s="1"/>
  <c r="I79" i="8"/>
  <c r="H79" i="8"/>
  <c r="G79" i="8"/>
  <c r="P79" i="8" s="1"/>
  <c r="F79" i="8"/>
  <c r="O79" i="8" s="1"/>
  <c r="R78" i="8"/>
  <c r="M78" i="8"/>
  <c r="L78" i="8"/>
  <c r="K78" i="8"/>
  <c r="J78" i="8"/>
  <c r="Q78" i="8" s="1"/>
  <c r="I78" i="8"/>
  <c r="H78" i="8"/>
  <c r="G78" i="8"/>
  <c r="P78" i="8" s="1"/>
  <c r="F78" i="8"/>
  <c r="O78" i="8" s="1"/>
  <c r="R77" i="8"/>
  <c r="Q77" i="8"/>
  <c r="M77" i="8"/>
  <c r="L77" i="8"/>
  <c r="K77" i="8"/>
  <c r="J77" i="8"/>
  <c r="I77" i="8"/>
  <c r="H77" i="8"/>
  <c r="G77" i="8"/>
  <c r="P77" i="8" s="1"/>
  <c r="F77" i="8"/>
  <c r="O77" i="8" s="1"/>
  <c r="M76" i="8"/>
  <c r="L76" i="8"/>
  <c r="R76" i="8" s="1"/>
  <c r="K76" i="8"/>
  <c r="J76" i="8"/>
  <c r="Q76" i="8" s="1"/>
  <c r="I76" i="8"/>
  <c r="H76" i="8"/>
  <c r="G76" i="8"/>
  <c r="P76" i="8" s="1"/>
  <c r="F76" i="8"/>
  <c r="O76" i="8" s="1"/>
  <c r="R75" i="8"/>
  <c r="Q75" i="8"/>
  <c r="M75" i="8"/>
  <c r="L75" i="8"/>
  <c r="K75" i="8"/>
  <c r="J75" i="8"/>
  <c r="I75" i="8"/>
  <c r="H75" i="8"/>
  <c r="G75" i="8"/>
  <c r="P75" i="8" s="1"/>
  <c r="F75" i="8"/>
  <c r="O75" i="8" s="1"/>
  <c r="M74" i="8"/>
  <c r="L74" i="8"/>
  <c r="R74" i="8" s="1"/>
  <c r="K74" i="8"/>
  <c r="J74" i="8"/>
  <c r="Q74" i="8" s="1"/>
  <c r="I74" i="8"/>
  <c r="H74" i="8"/>
  <c r="G74" i="8"/>
  <c r="P74" i="8" s="1"/>
  <c r="F74" i="8"/>
  <c r="O74" i="8" s="1"/>
  <c r="R73" i="8"/>
  <c r="Q73" i="8"/>
  <c r="M73" i="8"/>
  <c r="L73" i="8"/>
  <c r="K73" i="8"/>
  <c r="J73" i="8"/>
  <c r="I73" i="8"/>
  <c r="H73" i="8"/>
  <c r="G73" i="8"/>
  <c r="P73" i="8" s="1"/>
  <c r="F73" i="8"/>
  <c r="O73" i="8" s="1"/>
  <c r="M72" i="8"/>
  <c r="L72" i="8"/>
  <c r="R72" i="8" s="1"/>
  <c r="K72" i="8"/>
  <c r="J72" i="8"/>
  <c r="Q72" i="8" s="1"/>
  <c r="I72" i="8"/>
  <c r="H72" i="8"/>
  <c r="G72" i="8"/>
  <c r="P72" i="8" s="1"/>
  <c r="F72" i="8"/>
  <c r="O72" i="8" s="1"/>
  <c r="R71" i="8"/>
  <c r="M71" i="8"/>
  <c r="L71" i="8"/>
  <c r="K71" i="8"/>
  <c r="J71" i="8"/>
  <c r="Q71" i="8" s="1"/>
  <c r="I71" i="8"/>
  <c r="H71" i="8"/>
  <c r="G71" i="8"/>
  <c r="P71" i="8" s="1"/>
  <c r="F71" i="8"/>
  <c r="O71" i="8" s="1"/>
  <c r="M70" i="8"/>
  <c r="L70" i="8"/>
  <c r="R70" i="8" s="1"/>
  <c r="K70" i="8"/>
  <c r="J70" i="8"/>
  <c r="Q70" i="8" s="1"/>
  <c r="I70" i="8"/>
  <c r="H70" i="8"/>
  <c r="G70" i="8"/>
  <c r="P70" i="8" s="1"/>
  <c r="F70" i="8"/>
  <c r="O70" i="8" s="1"/>
  <c r="M69" i="8"/>
  <c r="L69" i="8"/>
  <c r="R69" i="8" s="1"/>
  <c r="K69" i="8"/>
  <c r="J69" i="8"/>
  <c r="Q69" i="8" s="1"/>
  <c r="I69" i="8"/>
  <c r="H69" i="8"/>
  <c r="G69" i="8"/>
  <c r="P69" i="8" s="1"/>
  <c r="F69" i="8"/>
  <c r="O69" i="8" s="1"/>
  <c r="M68" i="8"/>
  <c r="L68" i="8"/>
  <c r="R68" i="8" s="1"/>
  <c r="K68" i="8"/>
  <c r="J68" i="8"/>
  <c r="Q68" i="8" s="1"/>
  <c r="I68" i="8"/>
  <c r="H68" i="8"/>
  <c r="G68" i="8"/>
  <c r="P68" i="8" s="1"/>
  <c r="F68" i="8"/>
  <c r="O68" i="8" s="1"/>
  <c r="O67" i="8"/>
  <c r="M67" i="8"/>
  <c r="L67" i="8"/>
  <c r="R67" i="8" s="1"/>
  <c r="K67" i="8"/>
  <c r="J67" i="8"/>
  <c r="Q67" i="8" s="1"/>
  <c r="I67" i="8"/>
  <c r="H67" i="8"/>
  <c r="G67" i="8"/>
  <c r="P67" i="8" s="1"/>
  <c r="F67" i="8"/>
  <c r="M66" i="8"/>
  <c r="L66" i="8"/>
  <c r="R66" i="8" s="1"/>
  <c r="K66" i="8"/>
  <c r="J66" i="8"/>
  <c r="Q66" i="8" s="1"/>
  <c r="I66" i="8"/>
  <c r="H66" i="8"/>
  <c r="G66" i="8"/>
  <c r="P66" i="8" s="1"/>
  <c r="F66" i="8"/>
  <c r="O66" i="8" s="1"/>
  <c r="M65" i="8"/>
  <c r="L65" i="8"/>
  <c r="R65" i="8" s="1"/>
  <c r="K65" i="8"/>
  <c r="J65" i="8"/>
  <c r="Q65" i="8" s="1"/>
  <c r="I65" i="8"/>
  <c r="H65" i="8"/>
  <c r="G65" i="8"/>
  <c r="P65" i="8" s="1"/>
  <c r="F65" i="8"/>
  <c r="O65" i="8" s="1"/>
  <c r="M64" i="8"/>
  <c r="L64" i="8"/>
  <c r="R64" i="8" s="1"/>
  <c r="K64" i="8"/>
  <c r="J64" i="8"/>
  <c r="Q64" i="8" s="1"/>
  <c r="I64" i="8"/>
  <c r="H64" i="8"/>
  <c r="G64" i="8"/>
  <c r="P64" i="8" s="1"/>
  <c r="F64" i="8"/>
  <c r="O64" i="8" s="1"/>
  <c r="M63" i="8"/>
  <c r="L63" i="8"/>
  <c r="R63" i="8" s="1"/>
  <c r="K63" i="8"/>
  <c r="J63" i="8"/>
  <c r="Q63" i="8" s="1"/>
  <c r="I63" i="8"/>
  <c r="H63" i="8"/>
  <c r="G63" i="8"/>
  <c r="P63" i="8" s="1"/>
  <c r="F63" i="8"/>
  <c r="O63" i="8" s="1"/>
  <c r="M60" i="8"/>
  <c r="L60" i="8"/>
  <c r="R60" i="8" s="1"/>
  <c r="K60" i="8"/>
  <c r="J60" i="8"/>
  <c r="Q60" i="8" s="1"/>
  <c r="I60" i="8"/>
  <c r="H60" i="8"/>
  <c r="G60" i="8"/>
  <c r="P60" i="8" s="1"/>
  <c r="F60" i="8"/>
  <c r="O60" i="8" s="1"/>
  <c r="M59" i="8"/>
  <c r="L59" i="8"/>
  <c r="R59" i="8" s="1"/>
  <c r="K59" i="8"/>
  <c r="J59" i="8"/>
  <c r="Q59" i="8" s="1"/>
  <c r="I59" i="8"/>
  <c r="H59" i="8"/>
  <c r="G59" i="8"/>
  <c r="P59" i="8" s="1"/>
  <c r="F59" i="8"/>
  <c r="O59" i="8" s="1"/>
  <c r="M58" i="8"/>
  <c r="L58" i="8"/>
  <c r="R58" i="8" s="1"/>
  <c r="K58" i="8"/>
  <c r="J58" i="8"/>
  <c r="Q58" i="8" s="1"/>
  <c r="I58" i="8"/>
  <c r="H58" i="8"/>
  <c r="G58" i="8"/>
  <c r="P58" i="8" s="1"/>
  <c r="F58" i="8"/>
  <c r="O58" i="8" s="1"/>
  <c r="M57" i="8"/>
  <c r="L57" i="8"/>
  <c r="R57" i="8" s="1"/>
  <c r="K57" i="8"/>
  <c r="J57" i="8"/>
  <c r="Q57" i="8" s="1"/>
  <c r="I57" i="8"/>
  <c r="H57" i="8"/>
  <c r="G57" i="8"/>
  <c r="P57" i="8" s="1"/>
  <c r="F57" i="8"/>
  <c r="O57" i="8" s="1"/>
  <c r="M56" i="8"/>
  <c r="L56" i="8"/>
  <c r="R56" i="8" s="1"/>
  <c r="K56" i="8"/>
  <c r="J56" i="8"/>
  <c r="Q56" i="8" s="1"/>
  <c r="I56" i="8"/>
  <c r="H56" i="8"/>
  <c r="G56" i="8"/>
  <c r="P56" i="8" s="1"/>
  <c r="F56" i="8"/>
  <c r="O56" i="8" s="1"/>
  <c r="M55" i="8"/>
  <c r="L55" i="8"/>
  <c r="R55" i="8" s="1"/>
  <c r="K55" i="8"/>
  <c r="J55" i="8"/>
  <c r="Q55" i="8" s="1"/>
  <c r="I55" i="8"/>
  <c r="H55" i="8"/>
  <c r="G55" i="8"/>
  <c r="P55" i="8" s="1"/>
  <c r="F55" i="8"/>
  <c r="O55" i="8" s="1"/>
  <c r="M54" i="8"/>
  <c r="L54" i="8"/>
  <c r="R54" i="8" s="1"/>
  <c r="K54" i="8"/>
  <c r="J54" i="8"/>
  <c r="Q54" i="8" s="1"/>
  <c r="I54" i="8"/>
  <c r="H54" i="8"/>
  <c r="G54" i="8"/>
  <c r="P54" i="8" s="1"/>
  <c r="F54" i="8"/>
  <c r="O54" i="8" s="1"/>
  <c r="M53" i="8"/>
  <c r="L53" i="8"/>
  <c r="R53" i="8" s="1"/>
  <c r="K53" i="8"/>
  <c r="J53" i="8"/>
  <c r="Q53" i="8" s="1"/>
  <c r="I53" i="8"/>
  <c r="H53" i="8"/>
  <c r="G53" i="8"/>
  <c r="P53" i="8" s="1"/>
  <c r="F53" i="8"/>
  <c r="O53" i="8" s="1"/>
  <c r="M52" i="8"/>
  <c r="L52" i="8"/>
  <c r="R52" i="8" s="1"/>
  <c r="K52" i="8"/>
  <c r="J52" i="8"/>
  <c r="Q52" i="8" s="1"/>
  <c r="I52" i="8"/>
  <c r="H52" i="8"/>
  <c r="G52" i="8"/>
  <c r="P52" i="8" s="1"/>
  <c r="F52" i="8"/>
  <c r="O52" i="8" s="1"/>
  <c r="M51" i="8"/>
  <c r="L51" i="8"/>
  <c r="R51" i="8" s="1"/>
  <c r="K51" i="8"/>
  <c r="J51" i="8"/>
  <c r="Q51" i="8" s="1"/>
  <c r="I51" i="8"/>
  <c r="H51" i="8"/>
  <c r="G51" i="8"/>
  <c r="P51" i="8" s="1"/>
  <c r="F51" i="8"/>
  <c r="O51" i="8" s="1"/>
  <c r="M50" i="8"/>
  <c r="L50" i="8"/>
  <c r="R50" i="8" s="1"/>
  <c r="K50" i="8"/>
  <c r="J50" i="8"/>
  <c r="Q50" i="8" s="1"/>
  <c r="I50" i="8"/>
  <c r="H50" i="8"/>
  <c r="G50" i="8"/>
  <c r="P50" i="8" s="1"/>
  <c r="F50" i="8"/>
  <c r="O50" i="8" s="1"/>
  <c r="O49" i="8"/>
  <c r="M49" i="8"/>
  <c r="L49" i="8"/>
  <c r="R49" i="8" s="1"/>
  <c r="K49" i="8"/>
  <c r="J49" i="8"/>
  <c r="Q49" i="8" s="1"/>
  <c r="I49" i="8"/>
  <c r="H49" i="8"/>
  <c r="G49" i="8"/>
  <c r="P49" i="8" s="1"/>
  <c r="F49" i="8"/>
  <c r="M48" i="8"/>
  <c r="L48" i="8"/>
  <c r="R48" i="8" s="1"/>
  <c r="K48" i="8"/>
  <c r="J48" i="8"/>
  <c r="Q48" i="8" s="1"/>
  <c r="I48" i="8"/>
  <c r="H48" i="8"/>
  <c r="G48" i="8"/>
  <c r="P48" i="8" s="1"/>
  <c r="F48" i="8"/>
  <c r="O48" i="8" s="1"/>
  <c r="M47" i="8"/>
  <c r="L47" i="8"/>
  <c r="R47" i="8" s="1"/>
  <c r="K47" i="8"/>
  <c r="J47" i="8"/>
  <c r="Q47" i="8" s="1"/>
  <c r="I47" i="8"/>
  <c r="H47" i="8"/>
  <c r="G47" i="8"/>
  <c r="P47" i="8" s="1"/>
  <c r="F47" i="8"/>
  <c r="O47" i="8" s="1"/>
  <c r="R46" i="8"/>
  <c r="M46" i="8"/>
  <c r="L46" i="8"/>
  <c r="K46" i="8"/>
  <c r="J46" i="8"/>
  <c r="Q46" i="8" s="1"/>
  <c r="I46" i="8"/>
  <c r="H46" i="8"/>
  <c r="G46" i="8"/>
  <c r="P46" i="8" s="1"/>
  <c r="F46" i="8"/>
  <c r="O46" i="8" s="1"/>
  <c r="M45" i="8"/>
  <c r="L45" i="8"/>
  <c r="R45" i="8" s="1"/>
  <c r="K45" i="8"/>
  <c r="J45" i="8"/>
  <c r="Q45" i="8" s="1"/>
  <c r="I45" i="8"/>
  <c r="H45" i="8"/>
  <c r="G45" i="8"/>
  <c r="P45" i="8" s="1"/>
  <c r="F45" i="8"/>
  <c r="O45" i="8" s="1"/>
  <c r="R44" i="8"/>
  <c r="M44" i="8"/>
  <c r="L44" i="8"/>
  <c r="K44" i="8"/>
  <c r="J44" i="8"/>
  <c r="Q44" i="8" s="1"/>
  <c r="I44" i="8"/>
  <c r="H44" i="8"/>
  <c r="G44" i="8"/>
  <c r="P44" i="8" s="1"/>
  <c r="F44" i="8"/>
  <c r="O44" i="8" s="1"/>
  <c r="M43" i="8"/>
  <c r="L43" i="8"/>
  <c r="R43" i="8" s="1"/>
  <c r="K43" i="8"/>
  <c r="J43" i="8"/>
  <c r="Q43" i="8" s="1"/>
  <c r="I43" i="8"/>
  <c r="H43" i="8"/>
  <c r="G43" i="8"/>
  <c r="P43" i="8" s="1"/>
  <c r="F43" i="8"/>
  <c r="O43" i="8" s="1"/>
  <c r="B43" i="8"/>
  <c r="B41" i="8"/>
  <c r="M40" i="8"/>
  <c r="L40" i="8"/>
  <c r="K40" i="8"/>
  <c r="J40" i="8"/>
  <c r="I40" i="8"/>
  <c r="R40" i="8" s="1"/>
  <c r="H40" i="8"/>
  <c r="Q40" i="8" s="1"/>
  <c r="G40" i="8"/>
  <c r="P40" i="8" s="1"/>
  <c r="F40" i="8"/>
  <c r="O40" i="8" s="1"/>
  <c r="Q39" i="8"/>
  <c r="M39" i="8"/>
  <c r="L39" i="8"/>
  <c r="R39" i="8" s="1"/>
  <c r="K39" i="8"/>
  <c r="J39" i="8"/>
  <c r="I39" i="8"/>
  <c r="H39" i="8"/>
  <c r="G39" i="8"/>
  <c r="F39" i="8"/>
  <c r="O39" i="8" s="1"/>
  <c r="Q38" i="8"/>
  <c r="M38" i="8"/>
  <c r="L38" i="8"/>
  <c r="R38" i="8" s="1"/>
  <c r="K38" i="8"/>
  <c r="J38" i="8"/>
  <c r="I38" i="8"/>
  <c r="H38" i="8"/>
  <c r="G38" i="8"/>
  <c r="P38" i="8" s="1"/>
  <c r="F38" i="8"/>
  <c r="O38" i="8" s="1"/>
  <c r="B38" i="8"/>
  <c r="R37" i="8"/>
  <c r="M37" i="8"/>
  <c r="L37" i="8"/>
  <c r="K37" i="8"/>
  <c r="Q37" i="8" s="1"/>
  <c r="J37" i="8"/>
  <c r="I37" i="8"/>
  <c r="H37" i="8"/>
  <c r="G37" i="8"/>
  <c r="P37" i="8" s="1"/>
  <c r="F37" i="8"/>
  <c r="O37" i="8" s="1"/>
  <c r="M36" i="8"/>
  <c r="R36" i="8" s="1"/>
  <c r="L36" i="8"/>
  <c r="K36" i="8"/>
  <c r="J36" i="8"/>
  <c r="Q36" i="8" s="1"/>
  <c r="I36" i="8"/>
  <c r="H36" i="8"/>
  <c r="G36" i="8"/>
  <c r="P36" i="8" s="1"/>
  <c r="F36" i="8"/>
  <c r="O36" i="8" s="1"/>
  <c r="R35" i="8"/>
  <c r="M35" i="8"/>
  <c r="L35" i="8"/>
  <c r="K35" i="8"/>
  <c r="J35" i="8"/>
  <c r="Q35" i="8" s="1"/>
  <c r="I35" i="8"/>
  <c r="H35" i="8"/>
  <c r="G35" i="8"/>
  <c r="P35" i="8" s="1"/>
  <c r="F35" i="8"/>
  <c r="O35" i="8" s="1"/>
  <c r="M34" i="8"/>
  <c r="R34" i="8" s="1"/>
  <c r="L34" i="8"/>
  <c r="K34" i="8"/>
  <c r="J34" i="8"/>
  <c r="Q34" i="8" s="1"/>
  <c r="I34" i="8"/>
  <c r="H34" i="8"/>
  <c r="G34" i="8"/>
  <c r="P34" i="8" s="1"/>
  <c r="F34" i="8"/>
  <c r="O34" i="8" s="1"/>
  <c r="O33" i="8"/>
  <c r="M33" i="8"/>
  <c r="R33" i="8" s="1"/>
  <c r="L33" i="8"/>
  <c r="K33" i="8"/>
  <c r="J33" i="8"/>
  <c r="Q33" i="8" s="1"/>
  <c r="I33" i="8"/>
  <c r="H33" i="8"/>
  <c r="G33" i="8"/>
  <c r="P33" i="8" s="1"/>
  <c r="F33" i="8"/>
  <c r="R32" i="8"/>
  <c r="M32" i="8"/>
  <c r="L32" i="8"/>
  <c r="K32" i="8"/>
  <c r="J32" i="8"/>
  <c r="Q32" i="8" s="1"/>
  <c r="I32" i="8"/>
  <c r="H32" i="8"/>
  <c r="G32" i="8"/>
  <c r="P32" i="8" s="1"/>
  <c r="F32" i="8"/>
  <c r="O32" i="8" s="1"/>
  <c r="M31" i="8"/>
  <c r="R31" i="8" s="1"/>
  <c r="L31" i="8"/>
  <c r="K31" i="8"/>
  <c r="J31" i="8"/>
  <c r="Q31" i="8" s="1"/>
  <c r="I31" i="8"/>
  <c r="H31" i="8"/>
  <c r="G31" i="8"/>
  <c r="P31" i="8" s="1"/>
  <c r="F31" i="8"/>
  <c r="O31" i="8" s="1"/>
  <c r="R30" i="8"/>
  <c r="M30" i="8"/>
  <c r="L30" i="8"/>
  <c r="K30" i="8"/>
  <c r="J30" i="8"/>
  <c r="Q30" i="8" s="1"/>
  <c r="I30" i="8"/>
  <c r="H30" i="8"/>
  <c r="G30" i="8"/>
  <c r="P30" i="8" s="1"/>
  <c r="F30" i="8"/>
  <c r="O30" i="8" s="1"/>
  <c r="M29" i="8"/>
  <c r="L29" i="8"/>
  <c r="R29" i="8" s="1"/>
  <c r="K29" i="8"/>
  <c r="J29" i="8"/>
  <c r="Q29" i="8" s="1"/>
  <c r="I29" i="8"/>
  <c r="H29" i="8"/>
  <c r="G29" i="8"/>
  <c r="P29" i="8" s="1"/>
  <c r="F29" i="8"/>
  <c r="O29" i="8" s="1"/>
  <c r="M28" i="8"/>
  <c r="L28" i="8"/>
  <c r="R28" i="8" s="1"/>
  <c r="K28" i="8"/>
  <c r="J28" i="8"/>
  <c r="Q28" i="8" s="1"/>
  <c r="I28" i="8"/>
  <c r="H28" i="8"/>
  <c r="G28" i="8"/>
  <c r="P28" i="8" s="1"/>
  <c r="F28" i="8"/>
  <c r="O28" i="8" s="1"/>
  <c r="O27" i="8"/>
  <c r="M27" i="8"/>
  <c r="L27" i="8"/>
  <c r="R27" i="8" s="1"/>
  <c r="K27" i="8"/>
  <c r="J27" i="8"/>
  <c r="Q27" i="8" s="1"/>
  <c r="I27" i="8"/>
  <c r="H27" i="8"/>
  <c r="G27" i="8"/>
  <c r="P27" i="8" s="1"/>
  <c r="F27" i="8"/>
  <c r="M26" i="8"/>
  <c r="L26" i="8"/>
  <c r="R26" i="8" s="1"/>
  <c r="K26" i="8"/>
  <c r="J26" i="8"/>
  <c r="Q26" i="8" s="1"/>
  <c r="I26" i="8"/>
  <c r="H26" i="8"/>
  <c r="G26" i="8"/>
  <c r="P26" i="8" s="1"/>
  <c r="F26" i="8"/>
  <c r="O26" i="8" s="1"/>
  <c r="O25" i="8"/>
  <c r="M25" i="8"/>
  <c r="L25" i="8"/>
  <c r="R25" i="8" s="1"/>
  <c r="K25" i="8"/>
  <c r="J25" i="8"/>
  <c r="Q25" i="8" s="1"/>
  <c r="I25" i="8"/>
  <c r="H25" i="8"/>
  <c r="G25" i="8"/>
  <c r="P25" i="8" s="1"/>
  <c r="F25" i="8"/>
  <c r="R24" i="8"/>
  <c r="M24" i="8"/>
  <c r="L24" i="8"/>
  <c r="K24" i="8"/>
  <c r="J24" i="8"/>
  <c r="Q24" i="8" s="1"/>
  <c r="I24" i="8"/>
  <c r="H24" i="8"/>
  <c r="G24" i="8"/>
  <c r="P24" i="8" s="1"/>
  <c r="F24" i="8"/>
  <c r="O24" i="8" s="1"/>
  <c r="O23" i="8"/>
  <c r="M23" i="8"/>
  <c r="L23" i="8"/>
  <c r="R23" i="8" s="1"/>
  <c r="K23" i="8"/>
  <c r="J23" i="8"/>
  <c r="Q23" i="8" s="1"/>
  <c r="I23" i="8"/>
  <c r="H23" i="8"/>
  <c r="G23" i="8"/>
  <c r="P23" i="8" s="1"/>
  <c r="F23" i="8"/>
  <c r="R20" i="8"/>
  <c r="Q20" i="8"/>
  <c r="P20" i="8"/>
  <c r="O20" i="8"/>
  <c r="C20" i="8"/>
  <c r="R19" i="8"/>
  <c r="Q19" i="8"/>
  <c r="P19" i="8"/>
  <c r="O19" i="8"/>
  <c r="D19" i="8"/>
  <c r="R18" i="8"/>
  <c r="Q18" i="8"/>
  <c r="P18" i="8"/>
  <c r="O18" i="8"/>
  <c r="D18" i="8"/>
  <c r="R17" i="8"/>
  <c r="Q17" i="8"/>
  <c r="P17" i="8"/>
  <c r="O17" i="8"/>
  <c r="D17" i="8"/>
  <c r="C17" i="8"/>
  <c r="R16" i="8"/>
  <c r="Q16" i="8"/>
  <c r="P16" i="8"/>
  <c r="O16" i="8"/>
  <c r="C16" i="8"/>
  <c r="D16" i="8" s="1"/>
  <c r="R15" i="8"/>
  <c r="Q15" i="8"/>
  <c r="P15" i="8"/>
  <c r="O15" i="8"/>
  <c r="D15" i="8"/>
  <c r="C15" i="8"/>
  <c r="R14" i="8"/>
  <c r="Q14" i="8"/>
  <c r="P14" i="8"/>
  <c r="O14" i="8"/>
  <c r="D14" i="8"/>
  <c r="R13" i="8"/>
  <c r="Q13" i="8"/>
  <c r="P13" i="8"/>
  <c r="O13" i="8"/>
  <c r="D13" i="8"/>
  <c r="C13" i="8"/>
  <c r="R12" i="8"/>
  <c r="Q12" i="8"/>
  <c r="P12" i="8"/>
  <c r="O12" i="8"/>
  <c r="C12" i="8"/>
  <c r="D12" i="8" s="1"/>
  <c r="R11" i="8"/>
  <c r="Q11" i="8"/>
  <c r="P11" i="8"/>
  <c r="O11" i="8"/>
  <c r="C11" i="8"/>
  <c r="D11" i="8" s="1"/>
  <c r="R10" i="8"/>
  <c r="Q10" i="8"/>
  <c r="P10" i="8"/>
  <c r="O10" i="8"/>
  <c r="C10" i="8"/>
  <c r="D10" i="8" s="1"/>
  <c r="R9" i="8"/>
  <c r="Q9" i="8"/>
  <c r="P9" i="8"/>
  <c r="O9" i="8"/>
  <c r="C9" i="8"/>
  <c r="D9" i="8" s="1"/>
  <c r="R8" i="8"/>
  <c r="Q8" i="8"/>
  <c r="P8" i="8"/>
  <c r="O8" i="8"/>
  <c r="D8" i="8"/>
  <c r="R7" i="8"/>
  <c r="Q7" i="8"/>
  <c r="P7" i="8"/>
  <c r="O7" i="8"/>
  <c r="C7" i="8"/>
  <c r="D7" i="8" s="1"/>
  <c r="R6" i="8"/>
  <c r="Q6" i="8"/>
  <c r="P6" i="8"/>
  <c r="O6" i="8"/>
  <c r="D6" i="8"/>
  <c r="C6" i="8"/>
  <c r="R5" i="8"/>
  <c r="Q5" i="8"/>
  <c r="P5" i="8"/>
  <c r="O5" i="8"/>
  <c r="C5" i="8"/>
  <c r="D5" i="8" s="1"/>
  <c r="R4" i="8"/>
  <c r="Q4" i="8"/>
  <c r="P4" i="8"/>
  <c r="O4" i="8"/>
  <c r="D4" i="8"/>
  <c r="C4" i="8"/>
  <c r="R3" i="8"/>
  <c r="Q3" i="8"/>
  <c r="P3" i="8"/>
  <c r="O3" i="8"/>
  <c r="D3" i="8"/>
  <c r="M69" i="7"/>
  <c r="M70" i="7"/>
  <c r="M71" i="7"/>
  <c r="M72" i="7"/>
  <c r="M73" i="7"/>
  <c r="M74" i="7"/>
  <c r="M75" i="7"/>
  <c r="M76" i="7"/>
  <c r="M77" i="7"/>
  <c r="M78" i="7"/>
  <c r="M79" i="7"/>
  <c r="M80" i="7"/>
  <c r="M81" i="7"/>
  <c r="M82" i="7"/>
  <c r="M83" i="7"/>
  <c r="M84" i="7"/>
  <c r="M85" i="7"/>
  <c r="M68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1" i="7"/>
  <c r="M62" i="7"/>
  <c r="M63" i="7"/>
  <c r="M46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68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46" i="7"/>
  <c r="D37" i="7"/>
  <c r="B39" i="7" s="1"/>
  <c r="B20" i="7"/>
  <c r="E19" i="7"/>
  <c r="B19" i="7"/>
  <c r="E17" i="7"/>
  <c r="B17" i="7"/>
  <c r="E16" i="7"/>
  <c r="B16" i="7"/>
  <c r="M180" i="6"/>
  <c r="L180" i="6"/>
  <c r="R180" i="6" s="1"/>
  <c r="K180" i="6"/>
  <c r="J180" i="6"/>
  <c r="Q180" i="6" s="1"/>
  <c r="I180" i="6"/>
  <c r="H180" i="6"/>
  <c r="G180" i="6"/>
  <c r="P180" i="6" s="1"/>
  <c r="F180" i="6"/>
  <c r="O180" i="6" s="1"/>
  <c r="Q179" i="6"/>
  <c r="O179" i="6"/>
  <c r="M179" i="6"/>
  <c r="L179" i="6"/>
  <c r="R179" i="6" s="1"/>
  <c r="K179" i="6"/>
  <c r="J179" i="6"/>
  <c r="I179" i="6"/>
  <c r="H179" i="6"/>
  <c r="G179" i="6"/>
  <c r="P179" i="6" s="1"/>
  <c r="F179" i="6"/>
  <c r="M178" i="6"/>
  <c r="L178" i="6"/>
  <c r="R178" i="6" s="1"/>
  <c r="K178" i="6"/>
  <c r="J178" i="6"/>
  <c r="Q178" i="6" s="1"/>
  <c r="I178" i="6"/>
  <c r="H178" i="6"/>
  <c r="G178" i="6"/>
  <c r="P178" i="6" s="1"/>
  <c r="F178" i="6"/>
  <c r="O178" i="6" s="1"/>
  <c r="Q177" i="6"/>
  <c r="O177" i="6"/>
  <c r="M177" i="6"/>
  <c r="L177" i="6"/>
  <c r="R177" i="6" s="1"/>
  <c r="K177" i="6"/>
  <c r="J177" i="6"/>
  <c r="I177" i="6"/>
  <c r="H177" i="6"/>
  <c r="G177" i="6"/>
  <c r="P177" i="6" s="1"/>
  <c r="F177" i="6"/>
  <c r="M176" i="6"/>
  <c r="L176" i="6"/>
  <c r="R176" i="6" s="1"/>
  <c r="K176" i="6"/>
  <c r="J176" i="6"/>
  <c r="Q176" i="6" s="1"/>
  <c r="I176" i="6"/>
  <c r="H176" i="6"/>
  <c r="G176" i="6"/>
  <c r="P176" i="6" s="1"/>
  <c r="F176" i="6"/>
  <c r="O176" i="6" s="1"/>
  <c r="Q175" i="6"/>
  <c r="O175" i="6"/>
  <c r="M175" i="6"/>
  <c r="L175" i="6"/>
  <c r="R175" i="6" s="1"/>
  <c r="K175" i="6"/>
  <c r="J175" i="6"/>
  <c r="I175" i="6"/>
  <c r="H175" i="6"/>
  <c r="G175" i="6"/>
  <c r="P175" i="6" s="1"/>
  <c r="F175" i="6"/>
  <c r="M174" i="6"/>
  <c r="L174" i="6"/>
  <c r="R174" i="6" s="1"/>
  <c r="K174" i="6"/>
  <c r="J174" i="6"/>
  <c r="Q174" i="6" s="1"/>
  <c r="I174" i="6"/>
  <c r="H174" i="6"/>
  <c r="G174" i="6"/>
  <c r="P174" i="6" s="1"/>
  <c r="F174" i="6"/>
  <c r="O174" i="6" s="1"/>
  <c r="Q173" i="6"/>
  <c r="O173" i="6"/>
  <c r="M173" i="6"/>
  <c r="L173" i="6"/>
  <c r="R173" i="6" s="1"/>
  <c r="K173" i="6"/>
  <c r="J173" i="6"/>
  <c r="I173" i="6"/>
  <c r="H173" i="6"/>
  <c r="G173" i="6"/>
  <c r="P173" i="6" s="1"/>
  <c r="F173" i="6"/>
  <c r="M172" i="6"/>
  <c r="L172" i="6"/>
  <c r="R172" i="6" s="1"/>
  <c r="K172" i="6"/>
  <c r="J172" i="6"/>
  <c r="Q172" i="6" s="1"/>
  <c r="I172" i="6"/>
  <c r="H172" i="6"/>
  <c r="G172" i="6"/>
  <c r="P172" i="6" s="1"/>
  <c r="F172" i="6"/>
  <c r="O172" i="6" s="1"/>
  <c r="Q171" i="6"/>
  <c r="O171" i="6"/>
  <c r="M171" i="6"/>
  <c r="L171" i="6"/>
  <c r="R171" i="6" s="1"/>
  <c r="K171" i="6"/>
  <c r="J171" i="6"/>
  <c r="I171" i="6"/>
  <c r="H171" i="6"/>
  <c r="G171" i="6"/>
  <c r="P171" i="6" s="1"/>
  <c r="F171" i="6"/>
  <c r="M170" i="6"/>
  <c r="L170" i="6"/>
  <c r="R170" i="6" s="1"/>
  <c r="K170" i="6"/>
  <c r="J170" i="6"/>
  <c r="Q170" i="6" s="1"/>
  <c r="I170" i="6"/>
  <c r="H170" i="6"/>
  <c r="G170" i="6"/>
  <c r="P170" i="6" s="1"/>
  <c r="F170" i="6"/>
  <c r="O170" i="6" s="1"/>
  <c r="Q169" i="6"/>
  <c r="O169" i="6"/>
  <c r="M169" i="6"/>
  <c r="L169" i="6"/>
  <c r="R169" i="6" s="1"/>
  <c r="K169" i="6"/>
  <c r="J169" i="6"/>
  <c r="I169" i="6"/>
  <c r="H169" i="6"/>
  <c r="G169" i="6"/>
  <c r="P169" i="6" s="1"/>
  <c r="F169" i="6"/>
  <c r="M168" i="6"/>
  <c r="L168" i="6"/>
  <c r="R168" i="6" s="1"/>
  <c r="K168" i="6"/>
  <c r="J168" i="6"/>
  <c r="Q168" i="6" s="1"/>
  <c r="I168" i="6"/>
  <c r="H168" i="6"/>
  <c r="G168" i="6"/>
  <c r="P168" i="6" s="1"/>
  <c r="F168" i="6"/>
  <c r="O168" i="6" s="1"/>
  <c r="Q167" i="6"/>
  <c r="M167" i="6"/>
  <c r="L167" i="6"/>
  <c r="R167" i="6" s="1"/>
  <c r="K167" i="6"/>
  <c r="J167" i="6"/>
  <c r="I167" i="6"/>
  <c r="H167" i="6"/>
  <c r="G167" i="6"/>
  <c r="P167" i="6" s="1"/>
  <c r="F167" i="6"/>
  <c r="O167" i="6" s="1"/>
  <c r="M166" i="6"/>
  <c r="L166" i="6"/>
  <c r="R166" i="6" s="1"/>
  <c r="K166" i="6"/>
  <c r="J166" i="6"/>
  <c r="Q166" i="6" s="1"/>
  <c r="I166" i="6"/>
  <c r="H166" i="6"/>
  <c r="G166" i="6"/>
  <c r="P166" i="6" s="1"/>
  <c r="F166" i="6"/>
  <c r="O166" i="6" s="1"/>
  <c r="Q165" i="6"/>
  <c r="O165" i="6"/>
  <c r="M165" i="6"/>
  <c r="L165" i="6"/>
  <c r="R165" i="6" s="1"/>
  <c r="K165" i="6"/>
  <c r="J165" i="6"/>
  <c r="I165" i="6"/>
  <c r="H165" i="6"/>
  <c r="G165" i="6"/>
  <c r="P165" i="6" s="1"/>
  <c r="F165" i="6"/>
  <c r="M164" i="6"/>
  <c r="L164" i="6"/>
  <c r="R164" i="6" s="1"/>
  <c r="K164" i="6"/>
  <c r="J164" i="6"/>
  <c r="Q164" i="6" s="1"/>
  <c r="I164" i="6"/>
  <c r="H164" i="6"/>
  <c r="G164" i="6"/>
  <c r="P164" i="6" s="1"/>
  <c r="F164" i="6"/>
  <c r="O164" i="6" s="1"/>
  <c r="Q163" i="6"/>
  <c r="P163" i="6"/>
  <c r="O163" i="6"/>
  <c r="M160" i="6"/>
  <c r="R160" i="6" s="1"/>
  <c r="L160" i="6"/>
  <c r="K160" i="6"/>
  <c r="J160" i="6"/>
  <c r="Q160" i="6" s="1"/>
  <c r="I160" i="6"/>
  <c r="H160" i="6"/>
  <c r="G160" i="6"/>
  <c r="P160" i="6" s="1"/>
  <c r="F160" i="6"/>
  <c r="O160" i="6" s="1"/>
  <c r="M159" i="6"/>
  <c r="R159" i="6" s="1"/>
  <c r="L159" i="6"/>
  <c r="K159" i="6"/>
  <c r="J159" i="6"/>
  <c r="Q159" i="6" s="1"/>
  <c r="I159" i="6"/>
  <c r="H159" i="6"/>
  <c r="G159" i="6"/>
  <c r="P159" i="6" s="1"/>
  <c r="F159" i="6"/>
  <c r="O159" i="6" s="1"/>
  <c r="M158" i="6"/>
  <c r="R158" i="6" s="1"/>
  <c r="L158" i="6"/>
  <c r="K158" i="6"/>
  <c r="J158" i="6"/>
  <c r="Q158" i="6" s="1"/>
  <c r="I158" i="6"/>
  <c r="H158" i="6"/>
  <c r="G158" i="6"/>
  <c r="P158" i="6" s="1"/>
  <c r="F158" i="6"/>
  <c r="O158" i="6" s="1"/>
  <c r="R157" i="6"/>
  <c r="M157" i="6"/>
  <c r="L157" i="6"/>
  <c r="K157" i="6"/>
  <c r="J157" i="6"/>
  <c r="Q157" i="6" s="1"/>
  <c r="I157" i="6"/>
  <c r="H157" i="6"/>
  <c r="G157" i="6"/>
  <c r="P157" i="6" s="1"/>
  <c r="F157" i="6"/>
  <c r="O157" i="6" s="1"/>
  <c r="M156" i="6"/>
  <c r="R156" i="6" s="1"/>
  <c r="L156" i="6"/>
  <c r="K156" i="6"/>
  <c r="J156" i="6"/>
  <c r="Q156" i="6" s="1"/>
  <c r="I156" i="6"/>
  <c r="H156" i="6"/>
  <c r="G156" i="6"/>
  <c r="P156" i="6" s="1"/>
  <c r="F156" i="6"/>
  <c r="O156" i="6" s="1"/>
  <c r="P155" i="6"/>
  <c r="M155" i="6"/>
  <c r="R155" i="6" s="1"/>
  <c r="L155" i="6"/>
  <c r="K155" i="6"/>
  <c r="J155" i="6"/>
  <c r="Q155" i="6" s="1"/>
  <c r="I155" i="6"/>
  <c r="H155" i="6"/>
  <c r="G155" i="6"/>
  <c r="F155" i="6"/>
  <c r="O155" i="6" s="1"/>
  <c r="M154" i="6"/>
  <c r="R154" i="6" s="1"/>
  <c r="L154" i="6"/>
  <c r="K154" i="6"/>
  <c r="J154" i="6"/>
  <c r="Q154" i="6" s="1"/>
  <c r="I154" i="6"/>
  <c r="H154" i="6"/>
  <c r="G154" i="6"/>
  <c r="P154" i="6" s="1"/>
  <c r="F154" i="6"/>
  <c r="O154" i="6" s="1"/>
  <c r="P153" i="6"/>
  <c r="M153" i="6"/>
  <c r="R153" i="6" s="1"/>
  <c r="L153" i="6"/>
  <c r="K153" i="6"/>
  <c r="J153" i="6"/>
  <c r="Q153" i="6" s="1"/>
  <c r="I153" i="6"/>
  <c r="H153" i="6"/>
  <c r="G153" i="6"/>
  <c r="F153" i="6"/>
  <c r="O153" i="6" s="1"/>
  <c r="M152" i="6"/>
  <c r="R152" i="6" s="1"/>
  <c r="L152" i="6"/>
  <c r="K152" i="6"/>
  <c r="J152" i="6"/>
  <c r="Q152" i="6" s="1"/>
  <c r="I152" i="6"/>
  <c r="H152" i="6"/>
  <c r="G152" i="6"/>
  <c r="P152" i="6" s="1"/>
  <c r="F152" i="6"/>
  <c r="O152" i="6" s="1"/>
  <c r="P151" i="6"/>
  <c r="M151" i="6"/>
  <c r="R151" i="6" s="1"/>
  <c r="L151" i="6"/>
  <c r="K151" i="6"/>
  <c r="J151" i="6"/>
  <c r="Q151" i="6" s="1"/>
  <c r="I151" i="6"/>
  <c r="H151" i="6"/>
  <c r="G151" i="6"/>
  <c r="F151" i="6"/>
  <c r="O151" i="6" s="1"/>
  <c r="M150" i="6"/>
  <c r="R150" i="6" s="1"/>
  <c r="L150" i="6"/>
  <c r="K150" i="6"/>
  <c r="J150" i="6"/>
  <c r="Q150" i="6" s="1"/>
  <c r="I150" i="6"/>
  <c r="H150" i="6"/>
  <c r="G150" i="6"/>
  <c r="P150" i="6" s="1"/>
  <c r="F150" i="6"/>
  <c r="O150" i="6" s="1"/>
  <c r="M149" i="6"/>
  <c r="R149" i="6" s="1"/>
  <c r="L149" i="6"/>
  <c r="K149" i="6"/>
  <c r="J149" i="6"/>
  <c r="Q149" i="6" s="1"/>
  <c r="I149" i="6"/>
  <c r="H149" i="6"/>
  <c r="G149" i="6"/>
  <c r="P149" i="6" s="1"/>
  <c r="F149" i="6"/>
  <c r="O149" i="6" s="1"/>
  <c r="M148" i="6"/>
  <c r="R148" i="6" s="1"/>
  <c r="L148" i="6"/>
  <c r="K148" i="6"/>
  <c r="J148" i="6"/>
  <c r="Q148" i="6" s="1"/>
  <c r="I148" i="6"/>
  <c r="H148" i="6"/>
  <c r="G148" i="6"/>
  <c r="P148" i="6" s="1"/>
  <c r="F148" i="6"/>
  <c r="O148" i="6" s="1"/>
  <c r="M147" i="6"/>
  <c r="R147" i="6" s="1"/>
  <c r="L147" i="6"/>
  <c r="K147" i="6"/>
  <c r="J147" i="6"/>
  <c r="Q147" i="6" s="1"/>
  <c r="I147" i="6"/>
  <c r="H147" i="6"/>
  <c r="G147" i="6"/>
  <c r="P147" i="6" s="1"/>
  <c r="F147" i="6"/>
  <c r="O147" i="6" s="1"/>
  <c r="M146" i="6"/>
  <c r="R146" i="6" s="1"/>
  <c r="L146" i="6"/>
  <c r="K146" i="6"/>
  <c r="J146" i="6"/>
  <c r="Q146" i="6" s="1"/>
  <c r="I146" i="6"/>
  <c r="H146" i="6"/>
  <c r="G146" i="6"/>
  <c r="P146" i="6" s="1"/>
  <c r="F146" i="6"/>
  <c r="O146" i="6" s="1"/>
  <c r="M145" i="6"/>
  <c r="R145" i="6" s="1"/>
  <c r="L145" i="6"/>
  <c r="K145" i="6"/>
  <c r="J145" i="6"/>
  <c r="Q145" i="6" s="1"/>
  <c r="I145" i="6"/>
  <c r="H145" i="6"/>
  <c r="G145" i="6"/>
  <c r="P145" i="6" s="1"/>
  <c r="F145" i="6"/>
  <c r="O145" i="6" s="1"/>
  <c r="M144" i="6"/>
  <c r="R144" i="6" s="1"/>
  <c r="L144" i="6"/>
  <c r="K144" i="6"/>
  <c r="J144" i="6"/>
  <c r="Q144" i="6" s="1"/>
  <c r="I144" i="6"/>
  <c r="H144" i="6"/>
  <c r="G144" i="6"/>
  <c r="P144" i="6" s="1"/>
  <c r="F144" i="6"/>
  <c r="O144" i="6" s="1"/>
  <c r="R143" i="6"/>
  <c r="Q143" i="6"/>
  <c r="P143" i="6"/>
  <c r="O143" i="6"/>
  <c r="L143" i="6"/>
  <c r="M140" i="6"/>
  <c r="L140" i="6"/>
  <c r="R140" i="6" s="1"/>
  <c r="K140" i="6"/>
  <c r="J140" i="6"/>
  <c r="Q140" i="6" s="1"/>
  <c r="I140" i="6"/>
  <c r="H140" i="6"/>
  <c r="G140" i="6"/>
  <c r="P140" i="6" s="1"/>
  <c r="F140" i="6"/>
  <c r="O140" i="6" s="1"/>
  <c r="Q139" i="6"/>
  <c r="M139" i="6"/>
  <c r="L139" i="6"/>
  <c r="R139" i="6" s="1"/>
  <c r="K139" i="6"/>
  <c r="J139" i="6"/>
  <c r="I139" i="6"/>
  <c r="H139" i="6"/>
  <c r="G139" i="6"/>
  <c r="P139" i="6" s="1"/>
  <c r="F139" i="6"/>
  <c r="O139" i="6" s="1"/>
  <c r="M138" i="6"/>
  <c r="L138" i="6"/>
  <c r="R138" i="6" s="1"/>
  <c r="K138" i="6"/>
  <c r="J138" i="6"/>
  <c r="Q138" i="6" s="1"/>
  <c r="I138" i="6"/>
  <c r="H138" i="6"/>
  <c r="G138" i="6"/>
  <c r="P138" i="6" s="1"/>
  <c r="F138" i="6"/>
  <c r="O138" i="6" s="1"/>
  <c r="Q137" i="6"/>
  <c r="M137" i="6"/>
  <c r="L137" i="6"/>
  <c r="R137" i="6" s="1"/>
  <c r="K137" i="6"/>
  <c r="J137" i="6"/>
  <c r="I137" i="6"/>
  <c r="H137" i="6"/>
  <c r="G137" i="6"/>
  <c r="P137" i="6" s="1"/>
  <c r="F137" i="6"/>
  <c r="O137" i="6" s="1"/>
  <c r="M136" i="6"/>
  <c r="L136" i="6"/>
  <c r="R136" i="6" s="1"/>
  <c r="K136" i="6"/>
  <c r="J136" i="6"/>
  <c r="Q136" i="6" s="1"/>
  <c r="I136" i="6"/>
  <c r="H136" i="6"/>
  <c r="G136" i="6"/>
  <c r="P136" i="6" s="1"/>
  <c r="F136" i="6"/>
  <c r="O136" i="6" s="1"/>
  <c r="Q135" i="6"/>
  <c r="M135" i="6"/>
  <c r="L135" i="6"/>
  <c r="R135" i="6" s="1"/>
  <c r="K135" i="6"/>
  <c r="J135" i="6"/>
  <c r="I135" i="6"/>
  <c r="H135" i="6"/>
  <c r="G135" i="6"/>
  <c r="P135" i="6" s="1"/>
  <c r="F135" i="6"/>
  <c r="O135" i="6" s="1"/>
  <c r="M134" i="6"/>
  <c r="L134" i="6"/>
  <c r="R134" i="6" s="1"/>
  <c r="K134" i="6"/>
  <c r="J134" i="6"/>
  <c r="Q134" i="6" s="1"/>
  <c r="I134" i="6"/>
  <c r="H134" i="6"/>
  <c r="G134" i="6"/>
  <c r="P134" i="6" s="1"/>
  <c r="F134" i="6"/>
  <c r="O134" i="6" s="1"/>
  <c r="Q133" i="6"/>
  <c r="M133" i="6"/>
  <c r="L133" i="6"/>
  <c r="R133" i="6" s="1"/>
  <c r="K133" i="6"/>
  <c r="J133" i="6"/>
  <c r="I133" i="6"/>
  <c r="H133" i="6"/>
  <c r="G133" i="6"/>
  <c r="P133" i="6" s="1"/>
  <c r="F133" i="6"/>
  <c r="O133" i="6" s="1"/>
  <c r="M132" i="6"/>
  <c r="L132" i="6"/>
  <c r="R132" i="6" s="1"/>
  <c r="K132" i="6"/>
  <c r="J132" i="6"/>
  <c r="Q132" i="6" s="1"/>
  <c r="I132" i="6"/>
  <c r="H132" i="6"/>
  <c r="G132" i="6"/>
  <c r="P132" i="6" s="1"/>
  <c r="F132" i="6"/>
  <c r="O132" i="6" s="1"/>
  <c r="Q131" i="6"/>
  <c r="M131" i="6"/>
  <c r="L131" i="6"/>
  <c r="R131" i="6" s="1"/>
  <c r="K131" i="6"/>
  <c r="J131" i="6"/>
  <c r="I131" i="6"/>
  <c r="H131" i="6"/>
  <c r="G131" i="6"/>
  <c r="P131" i="6" s="1"/>
  <c r="F131" i="6"/>
  <c r="O131" i="6" s="1"/>
  <c r="M130" i="6"/>
  <c r="L130" i="6"/>
  <c r="R130" i="6" s="1"/>
  <c r="K130" i="6"/>
  <c r="J130" i="6"/>
  <c r="Q130" i="6" s="1"/>
  <c r="I130" i="6"/>
  <c r="H130" i="6"/>
  <c r="G130" i="6"/>
  <c r="P130" i="6" s="1"/>
  <c r="F130" i="6"/>
  <c r="O130" i="6" s="1"/>
  <c r="Q129" i="6"/>
  <c r="M129" i="6"/>
  <c r="L129" i="6"/>
  <c r="R129" i="6" s="1"/>
  <c r="K129" i="6"/>
  <c r="J129" i="6"/>
  <c r="I129" i="6"/>
  <c r="H129" i="6"/>
  <c r="G129" i="6"/>
  <c r="P129" i="6" s="1"/>
  <c r="F129" i="6"/>
  <c r="O129" i="6" s="1"/>
  <c r="M128" i="6"/>
  <c r="L128" i="6"/>
  <c r="R128" i="6" s="1"/>
  <c r="K128" i="6"/>
  <c r="J128" i="6"/>
  <c r="Q128" i="6" s="1"/>
  <c r="I128" i="6"/>
  <c r="H128" i="6"/>
  <c r="G128" i="6"/>
  <c r="P128" i="6" s="1"/>
  <c r="F128" i="6"/>
  <c r="O128" i="6" s="1"/>
  <c r="Q127" i="6"/>
  <c r="M127" i="6"/>
  <c r="L127" i="6"/>
  <c r="R127" i="6" s="1"/>
  <c r="K127" i="6"/>
  <c r="J127" i="6"/>
  <c r="I127" i="6"/>
  <c r="H127" i="6"/>
  <c r="G127" i="6"/>
  <c r="P127" i="6" s="1"/>
  <c r="F127" i="6"/>
  <c r="O127" i="6" s="1"/>
  <c r="M126" i="6"/>
  <c r="L126" i="6"/>
  <c r="R126" i="6" s="1"/>
  <c r="K126" i="6"/>
  <c r="J126" i="6"/>
  <c r="Q126" i="6" s="1"/>
  <c r="I126" i="6"/>
  <c r="H126" i="6"/>
  <c r="G126" i="6"/>
  <c r="P126" i="6" s="1"/>
  <c r="F126" i="6"/>
  <c r="O126" i="6" s="1"/>
  <c r="Q125" i="6"/>
  <c r="M125" i="6"/>
  <c r="L125" i="6"/>
  <c r="R125" i="6" s="1"/>
  <c r="K125" i="6"/>
  <c r="J125" i="6"/>
  <c r="I125" i="6"/>
  <c r="H125" i="6"/>
  <c r="G125" i="6"/>
  <c r="P125" i="6" s="1"/>
  <c r="F125" i="6"/>
  <c r="O125" i="6" s="1"/>
  <c r="M124" i="6"/>
  <c r="L124" i="6"/>
  <c r="R124" i="6" s="1"/>
  <c r="K124" i="6"/>
  <c r="J124" i="6"/>
  <c r="Q124" i="6" s="1"/>
  <c r="I124" i="6"/>
  <c r="H124" i="6"/>
  <c r="G124" i="6"/>
  <c r="P124" i="6" s="1"/>
  <c r="F124" i="6"/>
  <c r="O124" i="6" s="1"/>
  <c r="Q123" i="6"/>
  <c r="P123" i="6"/>
  <c r="O123" i="6"/>
  <c r="L123" i="6"/>
  <c r="R123" i="6" s="1"/>
  <c r="M120" i="6"/>
  <c r="L120" i="6"/>
  <c r="R120" i="6" s="1"/>
  <c r="K120" i="6"/>
  <c r="Q120" i="6" s="1"/>
  <c r="J120" i="6"/>
  <c r="I120" i="6"/>
  <c r="H120" i="6"/>
  <c r="G120" i="6"/>
  <c r="P120" i="6" s="1"/>
  <c r="F120" i="6"/>
  <c r="O120" i="6" s="1"/>
  <c r="R119" i="6"/>
  <c r="M119" i="6"/>
  <c r="L119" i="6"/>
  <c r="K119" i="6"/>
  <c r="Q119" i="6" s="1"/>
  <c r="J119" i="6"/>
  <c r="I119" i="6"/>
  <c r="H119" i="6"/>
  <c r="G119" i="6"/>
  <c r="P119" i="6" s="1"/>
  <c r="F119" i="6"/>
  <c r="O119" i="6" s="1"/>
  <c r="M118" i="6"/>
  <c r="L118" i="6"/>
  <c r="R118" i="6" s="1"/>
  <c r="K118" i="6"/>
  <c r="Q118" i="6" s="1"/>
  <c r="J118" i="6"/>
  <c r="I118" i="6"/>
  <c r="H118" i="6"/>
  <c r="G118" i="6"/>
  <c r="P118" i="6" s="1"/>
  <c r="F118" i="6"/>
  <c r="O118" i="6" s="1"/>
  <c r="R117" i="6"/>
  <c r="M117" i="6"/>
  <c r="L117" i="6"/>
  <c r="K117" i="6"/>
  <c r="Q117" i="6" s="1"/>
  <c r="J117" i="6"/>
  <c r="I117" i="6"/>
  <c r="H117" i="6"/>
  <c r="G117" i="6"/>
  <c r="P117" i="6" s="1"/>
  <c r="F117" i="6"/>
  <c r="O117" i="6" s="1"/>
  <c r="M116" i="6"/>
  <c r="L116" i="6"/>
  <c r="R116" i="6" s="1"/>
  <c r="K116" i="6"/>
  <c r="Q116" i="6" s="1"/>
  <c r="J116" i="6"/>
  <c r="I116" i="6"/>
  <c r="H116" i="6"/>
  <c r="G116" i="6"/>
  <c r="P116" i="6" s="1"/>
  <c r="F116" i="6"/>
  <c r="O116" i="6" s="1"/>
  <c r="R115" i="6"/>
  <c r="M115" i="6"/>
  <c r="L115" i="6"/>
  <c r="K115" i="6"/>
  <c r="Q115" i="6" s="1"/>
  <c r="J115" i="6"/>
  <c r="I115" i="6"/>
  <c r="H115" i="6"/>
  <c r="G115" i="6"/>
  <c r="P115" i="6" s="1"/>
  <c r="F115" i="6"/>
  <c r="O115" i="6" s="1"/>
  <c r="M114" i="6"/>
  <c r="L114" i="6"/>
  <c r="R114" i="6" s="1"/>
  <c r="K114" i="6"/>
  <c r="Q114" i="6" s="1"/>
  <c r="J114" i="6"/>
  <c r="I114" i="6"/>
  <c r="H114" i="6"/>
  <c r="G114" i="6"/>
  <c r="P114" i="6" s="1"/>
  <c r="F114" i="6"/>
  <c r="O114" i="6" s="1"/>
  <c r="R113" i="6"/>
  <c r="M113" i="6"/>
  <c r="L113" i="6"/>
  <c r="K113" i="6"/>
  <c r="Q113" i="6" s="1"/>
  <c r="J113" i="6"/>
  <c r="I113" i="6"/>
  <c r="H113" i="6"/>
  <c r="G113" i="6"/>
  <c r="P113" i="6" s="1"/>
  <c r="F113" i="6"/>
  <c r="O113" i="6" s="1"/>
  <c r="M112" i="6"/>
  <c r="L112" i="6"/>
  <c r="R112" i="6" s="1"/>
  <c r="K112" i="6"/>
  <c r="Q112" i="6" s="1"/>
  <c r="J112" i="6"/>
  <c r="I112" i="6"/>
  <c r="H112" i="6"/>
  <c r="G112" i="6"/>
  <c r="P112" i="6" s="1"/>
  <c r="F112" i="6"/>
  <c r="O112" i="6" s="1"/>
  <c r="R111" i="6"/>
  <c r="M111" i="6"/>
  <c r="L111" i="6"/>
  <c r="K111" i="6"/>
  <c r="Q111" i="6" s="1"/>
  <c r="J111" i="6"/>
  <c r="I111" i="6"/>
  <c r="H111" i="6"/>
  <c r="G111" i="6"/>
  <c r="P111" i="6" s="1"/>
  <c r="F111" i="6"/>
  <c r="O111" i="6" s="1"/>
  <c r="M110" i="6"/>
  <c r="L110" i="6"/>
  <c r="R110" i="6" s="1"/>
  <c r="K110" i="6"/>
  <c r="Q110" i="6" s="1"/>
  <c r="J110" i="6"/>
  <c r="I110" i="6"/>
  <c r="H110" i="6"/>
  <c r="G110" i="6"/>
  <c r="P110" i="6" s="1"/>
  <c r="F110" i="6"/>
  <c r="O110" i="6" s="1"/>
  <c r="R109" i="6"/>
  <c r="M109" i="6"/>
  <c r="L109" i="6"/>
  <c r="K109" i="6"/>
  <c r="Q109" i="6" s="1"/>
  <c r="J109" i="6"/>
  <c r="I109" i="6"/>
  <c r="H109" i="6"/>
  <c r="G109" i="6"/>
  <c r="P109" i="6" s="1"/>
  <c r="F109" i="6"/>
  <c r="O109" i="6" s="1"/>
  <c r="M108" i="6"/>
  <c r="L108" i="6"/>
  <c r="R108" i="6" s="1"/>
  <c r="K108" i="6"/>
  <c r="Q108" i="6" s="1"/>
  <c r="J108" i="6"/>
  <c r="I108" i="6"/>
  <c r="H108" i="6"/>
  <c r="G108" i="6"/>
  <c r="P108" i="6" s="1"/>
  <c r="F108" i="6"/>
  <c r="O108" i="6" s="1"/>
  <c r="R107" i="6"/>
  <c r="M107" i="6"/>
  <c r="L107" i="6"/>
  <c r="K107" i="6"/>
  <c r="Q107" i="6" s="1"/>
  <c r="J107" i="6"/>
  <c r="I107" i="6"/>
  <c r="H107" i="6"/>
  <c r="G107" i="6"/>
  <c r="P107" i="6" s="1"/>
  <c r="F107" i="6"/>
  <c r="O107" i="6" s="1"/>
  <c r="M106" i="6"/>
  <c r="L106" i="6"/>
  <c r="R106" i="6" s="1"/>
  <c r="K106" i="6"/>
  <c r="Q106" i="6" s="1"/>
  <c r="J106" i="6"/>
  <c r="I106" i="6"/>
  <c r="H106" i="6"/>
  <c r="G106" i="6"/>
  <c r="P106" i="6" s="1"/>
  <c r="F106" i="6"/>
  <c r="O106" i="6" s="1"/>
  <c r="R105" i="6"/>
  <c r="M105" i="6"/>
  <c r="L105" i="6"/>
  <c r="K105" i="6"/>
  <c r="Q105" i="6" s="1"/>
  <c r="J105" i="6"/>
  <c r="I105" i="6"/>
  <c r="H105" i="6"/>
  <c r="G105" i="6"/>
  <c r="P105" i="6" s="1"/>
  <c r="F105" i="6"/>
  <c r="O105" i="6" s="1"/>
  <c r="M104" i="6"/>
  <c r="L104" i="6"/>
  <c r="R104" i="6" s="1"/>
  <c r="K104" i="6"/>
  <c r="Q104" i="6" s="1"/>
  <c r="J104" i="6"/>
  <c r="I104" i="6"/>
  <c r="H104" i="6"/>
  <c r="G104" i="6"/>
  <c r="P104" i="6" s="1"/>
  <c r="F104" i="6"/>
  <c r="O104" i="6" s="1"/>
  <c r="R103" i="6"/>
  <c r="Q103" i="6"/>
  <c r="P103" i="6"/>
  <c r="O103" i="6"/>
  <c r="L103" i="6"/>
  <c r="Q100" i="6"/>
  <c r="M100" i="6"/>
  <c r="L100" i="6"/>
  <c r="R100" i="6" s="1"/>
  <c r="K100" i="6"/>
  <c r="J100" i="6"/>
  <c r="I100" i="6"/>
  <c r="H100" i="6"/>
  <c r="G100" i="6"/>
  <c r="P100" i="6" s="1"/>
  <c r="F100" i="6"/>
  <c r="O100" i="6" s="1"/>
  <c r="M99" i="6"/>
  <c r="L99" i="6"/>
  <c r="R99" i="6" s="1"/>
  <c r="K99" i="6"/>
  <c r="J99" i="6"/>
  <c r="Q99" i="6" s="1"/>
  <c r="I99" i="6"/>
  <c r="H99" i="6"/>
  <c r="G99" i="6"/>
  <c r="P99" i="6" s="1"/>
  <c r="F99" i="6"/>
  <c r="O99" i="6" s="1"/>
  <c r="Q98" i="6"/>
  <c r="M98" i="6"/>
  <c r="L98" i="6"/>
  <c r="R98" i="6" s="1"/>
  <c r="K98" i="6"/>
  <c r="J98" i="6"/>
  <c r="I98" i="6"/>
  <c r="H98" i="6"/>
  <c r="G98" i="6"/>
  <c r="P98" i="6" s="1"/>
  <c r="F98" i="6"/>
  <c r="O98" i="6" s="1"/>
  <c r="M97" i="6"/>
  <c r="L97" i="6"/>
  <c r="R97" i="6" s="1"/>
  <c r="K97" i="6"/>
  <c r="J97" i="6"/>
  <c r="Q97" i="6" s="1"/>
  <c r="I97" i="6"/>
  <c r="H97" i="6"/>
  <c r="G97" i="6"/>
  <c r="P97" i="6" s="1"/>
  <c r="F97" i="6"/>
  <c r="O97" i="6" s="1"/>
  <c r="Q96" i="6"/>
  <c r="M96" i="6"/>
  <c r="L96" i="6"/>
  <c r="R96" i="6" s="1"/>
  <c r="K96" i="6"/>
  <c r="J96" i="6"/>
  <c r="I96" i="6"/>
  <c r="H96" i="6"/>
  <c r="G96" i="6"/>
  <c r="P96" i="6" s="1"/>
  <c r="F96" i="6"/>
  <c r="O96" i="6" s="1"/>
  <c r="M95" i="6"/>
  <c r="L95" i="6"/>
  <c r="R95" i="6" s="1"/>
  <c r="K95" i="6"/>
  <c r="J95" i="6"/>
  <c r="Q95" i="6" s="1"/>
  <c r="I95" i="6"/>
  <c r="H95" i="6"/>
  <c r="G95" i="6"/>
  <c r="P95" i="6" s="1"/>
  <c r="F95" i="6"/>
  <c r="O95" i="6" s="1"/>
  <c r="Q94" i="6"/>
  <c r="O94" i="6"/>
  <c r="M94" i="6"/>
  <c r="L94" i="6"/>
  <c r="R94" i="6" s="1"/>
  <c r="K94" i="6"/>
  <c r="J94" i="6"/>
  <c r="I94" i="6"/>
  <c r="H94" i="6"/>
  <c r="G94" i="6"/>
  <c r="P94" i="6" s="1"/>
  <c r="F94" i="6"/>
  <c r="M93" i="6"/>
  <c r="L93" i="6"/>
  <c r="R93" i="6" s="1"/>
  <c r="K93" i="6"/>
  <c r="J93" i="6"/>
  <c r="Q93" i="6" s="1"/>
  <c r="I93" i="6"/>
  <c r="H93" i="6"/>
  <c r="G93" i="6"/>
  <c r="P93" i="6" s="1"/>
  <c r="F93" i="6"/>
  <c r="O93" i="6" s="1"/>
  <c r="Q92" i="6"/>
  <c r="O92" i="6"/>
  <c r="M92" i="6"/>
  <c r="L92" i="6"/>
  <c r="R92" i="6" s="1"/>
  <c r="K92" i="6"/>
  <c r="J92" i="6"/>
  <c r="I92" i="6"/>
  <c r="H92" i="6"/>
  <c r="G92" i="6"/>
  <c r="P92" i="6" s="1"/>
  <c r="F92" i="6"/>
  <c r="M91" i="6"/>
  <c r="L91" i="6"/>
  <c r="R91" i="6" s="1"/>
  <c r="K91" i="6"/>
  <c r="J91" i="6"/>
  <c r="Q91" i="6" s="1"/>
  <c r="I91" i="6"/>
  <c r="H91" i="6"/>
  <c r="G91" i="6"/>
  <c r="P91" i="6" s="1"/>
  <c r="F91" i="6"/>
  <c r="O91" i="6" s="1"/>
  <c r="Q90" i="6"/>
  <c r="O90" i="6"/>
  <c r="M90" i="6"/>
  <c r="L90" i="6"/>
  <c r="R90" i="6" s="1"/>
  <c r="K90" i="6"/>
  <c r="J90" i="6"/>
  <c r="I90" i="6"/>
  <c r="H90" i="6"/>
  <c r="G90" i="6"/>
  <c r="P90" i="6" s="1"/>
  <c r="F90" i="6"/>
  <c r="M89" i="6"/>
  <c r="L89" i="6"/>
  <c r="R89" i="6" s="1"/>
  <c r="K89" i="6"/>
  <c r="J89" i="6"/>
  <c r="Q89" i="6" s="1"/>
  <c r="I89" i="6"/>
  <c r="H89" i="6"/>
  <c r="G89" i="6"/>
  <c r="P89" i="6" s="1"/>
  <c r="F89" i="6"/>
  <c r="O89" i="6" s="1"/>
  <c r="Q88" i="6"/>
  <c r="M88" i="6"/>
  <c r="L88" i="6"/>
  <c r="R88" i="6" s="1"/>
  <c r="K88" i="6"/>
  <c r="J88" i="6"/>
  <c r="I88" i="6"/>
  <c r="H88" i="6"/>
  <c r="G88" i="6"/>
  <c r="P88" i="6" s="1"/>
  <c r="F88" i="6"/>
  <c r="O88" i="6" s="1"/>
  <c r="M87" i="6"/>
  <c r="L87" i="6"/>
  <c r="R87" i="6" s="1"/>
  <c r="K87" i="6"/>
  <c r="J87" i="6"/>
  <c r="Q87" i="6" s="1"/>
  <c r="I87" i="6"/>
  <c r="H87" i="6"/>
  <c r="G87" i="6"/>
  <c r="P87" i="6" s="1"/>
  <c r="F87" i="6"/>
  <c r="O87" i="6" s="1"/>
  <c r="Q86" i="6"/>
  <c r="O86" i="6"/>
  <c r="M86" i="6"/>
  <c r="L86" i="6"/>
  <c r="R86" i="6" s="1"/>
  <c r="K86" i="6"/>
  <c r="J86" i="6"/>
  <c r="I86" i="6"/>
  <c r="H86" i="6"/>
  <c r="G86" i="6"/>
  <c r="P86" i="6" s="1"/>
  <c r="F86" i="6"/>
  <c r="M85" i="6"/>
  <c r="L85" i="6"/>
  <c r="R85" i="6" s="1"/>
  <c r="K85" i="6"/>
  <c r="J85" i="6"/>
  <c r="Q85" i="6" s="1"/>
  <c r="I85" i="6"/>
  <c r="H85" i="6"/>
  <c r="G85" i="6"/>
  <c r="P85" i="6" s="1"/>
  <c r="F85" i="6"/>
  <c r="O85" i="6" s="1"/>
  <c r="Q84" i="6"/>
  <c r="O84" i="6"/>
  <c r="M84" i="6"/>
  <c r="L84" i="6"/>
  <c r="R84" i="6" s="1"/>
  <c r="K84" i="6"/>
  <c r="J84" i="6"/>
  <c r="I84" i="6"/>
  <c r="H84" i="6"/>
  <c r="G84" i="6"/>
  <c r="P84" i="6" s="1"/>
  <c r="F84" i="6"/>
  <c r="R83" i="6"/>
  <c r="Q83" i="6"/>
  <c r="P83" i="6"/>
  <c r="O83" i="6"/>
  <c r="L83" i="6"/>
  <c r="M80" i="6"/>
  <c r="R80" i="6" s="1"/>
  <c r="L80" i="6"/>
  <c r="K80" i="6"/>
  <c r="J80" i="6"/>
  <c r="Q80" i="6" s="1"/>
  <c r="I80" i="6"/>
  <c r="H80" i="6"/>
  <c r="G80" i="6"/>
  <c r="P80" i="6" s="1"/>
  <c r="F80" i="6"/>
  <c r="O80" i="6" s="1"/>
  <c r="M79" i="6"/>
  <c r="R79" i="6" s="1"/>
  <c r="L79" i="6"/>
  <c r="K79" i="6"/>
  <c r="J79" i="6"/>
  <c r="Q79" i="6" s="1"/>
  <c r="I79" i="6"/>
  <c r="H79" i="6"/>
  <c r="G79" i="6"/>
  <c r="P79" i="6" s="1"/>
  <c r="F79" i="6"/>
  <c r="O79" i="6" s="1"/>
  <c r="P78" i="6"/>
  <c r="M78" i="6"/>
  <c r="R78" i="6" s="1"/>
  <c r="L78" i="6"/>
  <c r="K78" i="6"/>
  <c r="J78" i="6"/>
  <c r="Q78" i="6" s="1"/>
  <c r="I78" i="6"/>
  <c r="H78" i="6"/>
  <c r="G78" i="6"/>
  <c r="F78" i="6"/>
  <c r="O78" i="6" s="1"/>
  <c r="M77" i="6"/>
  <c r="R77" i="6" s="1"/>
  <c r="L77" i="6"/>
  <c r="K77" i="6"/>
  <c r="J77" i="6"/>
  <c r="Q77" i="6" s="1"/>
  <c r="I77" i="6"/>
  <c r="H77" i="6"/>
  <c r="G77" i="6"/>
  <c r="P77" i="6" s="1"/>
  <c r="F77" i="6"/>
  <c r="O77" i="6" s="1"/>
  <c r="M76" i="6"/>
  <c r="R76" i="6" s="1"/>
  <c r="L76" i="6"/>
  <c r="K76" i="6"/>
  <c r="J76" i="6"/>
  <c r="Q76" i="6" s="1"/>
  <c r="I76" i="6"/>
  <c r="H76" i="6"/>
  <c r="G76" i="6"/>
  <c r="P76" i="6" s="1"/>
  <c r="F76" i="6"/>
  <c r="O76" i="6" s="1"/>
  <c r="M75" i="6"/>
  <c r="R75" i="6" s="1"/>
  <c r="L75" i="6"/>
  <c r="K75" i="6"/>
  <c r="J75" i="6"/>
  <c r="Q75" i="6" s="1"/>
  <c r="I75" i="6"/>
  <c r="H75" i="6"/>
  <c r="G75" i="6"/>
  <c r="P75" i="6" s="1"/>
  <c r="F75" i="6"/>
  <c r="O75" i="6" s="1"/>
  <c r="P74" i="6"/>
  <c r="M74" i="6"/>
  <c r="R74" i="6" s="1"/>
  <c r="L74" i="6"/>
  <c r="K74" i="6"/>
  <c r="J74" i="6"/>
  <c r="Q74" i="6" s="1"/>
  <c r="I74" i="6"/>
  <c r="H74" i="6"/>
  <c r="G74" i="6"/>
  <c r="F74" i="6"/>
  <c r="O74" i="6" s="1"/>
  <c r="M73" i="6"/>
  <c r="R73" i="6" s="1"/>
  <c r="L73" i="6"/>
  <c r="K73" i="6"/>
  <c r="J73" i="6"/>
  <c r="Q73" i="6" s="1"/>
  <c r="I73" i="6"/>
  <c r="H73" i="6"/>
  <c r="G73" i="6"/>
  <c r="P73" i="6" s="1"/>
  <c r="F73" i="6"/>
  <c r="O73" i="6" s="1"/>
  <c r="M72" i="6"/>
  <c r="R72" i="6" s="1"/>
  <c r="L72" i="6"/>
  <c r="K72" i="6"/>
  <c r="J72" i="6"/>
  <c r="Q72" i="6" s="1"/>
  <c r="I72" i="6"/>
  <c r="H72" i="6"/>
  <c r="G72" i="6"/>
  <c r="P72" i="6" s="1"/>
  <c r="F72" i="6"/>
  <c r="O72" i="6" s="1"/>
  <c r="M71" i="6"/>
  <c r="R71" i="6" s="1"/>
  <c r="L71" i="6"/>
  <c r="K71" i="6"/>
  <c r="J71" i="6"/>
  <c r="Q71" i="6" s="1"/>
  <c r="I71" i="6"/>
  <c r="H71" i="6"/>
  <c r="G71" i="6"/>
  <c r="P71" i="6" s="1"/>
  <c r="F71" i="6"/>
  <c r="O71" i="6" s="1"/>
  <c r="M70" i="6"/>
  <c r="R70" i="6" s="1"/>
  <c r="L70" i="6"/>
  <c r="K70" i="6"/>
  <c r="J70" i="6"/>
  <c r="Q70" i="6" s="1"/>
  <c r="I70" i="6"/>
  <c r="H70" i="6"/>
  <c r="G70" i="6"/>
  <c r="P70" i="6" s="1"/>
  <c r="F70" i="6"/>
  <c r="O70" i="6" s="1"/>
  <c r="M69" i="6"/>
  <c r="R69" i="6" s="1"/>
  <c r="L69" i="6"/>
  <c r="K69" i="6"/>
  <c r="J69" i="6"/>
  <c r="Q69" i="6" s="1"/>
  <c r="I69" i="6"/>
  <c r="H69" i="6"/>
  <c r="G69" i="6"/>
  <c r="P69" i="6" s="1"/>
  <c r="F69" i="6"/>
  <c r="O69" i="6" s="1"/>
  <c r="M68" i="6"/>
  <c r="R68" i="6" s="1"/>
  <c r="L68" i="6"/>
  <c r="K68" i="6"/>
  <c r="J68" i="6"/>
  <c r="Q68" i="6" s="1"/>
  <c r="I68" i="6"/>
  <c r="H68" i="6"/>
  <c r="G68" i="6"/>
  <c r="P68" i="6" s="1"/>
  <c r="F68" i="6"/>
  <c r="O68" i="6" s="1"/>
  <c r="M67" i="6"/>
  <c r="R67" i="6" s="1"/>
  <c r="L67" i="6"/>
  <c r="K67" i="6"/>
  <c r="J67" i="6"/>
  <c r="Q67" i="6" s="1"/>
  <c r="I67" i="6"/>
  <c r="H67" i="6"/>
  <c r="G67" i="6"/>
  <c r="P67" i="6" s="1"/>
  <c r="F67" i="6"/>
  <c r="O67" i="6" s="1"/>
  <c r="M66" i="6"/>
  <c r="R66" i="6" s="1"/>
  <c r="L66" i="6"/>
  <c r="K66" i="6"/>
  <c r="J66" i="6"/>
  <c r="Q66" i="6" s="1"/>
  <c r="I66" i="6"/>
  <c r="H66" i="6"/>
  <c r="G66" i="6"/>
  <c r="P66" i="6" s="1"/>
  <c r="F66" i="6"/>
  <c r="O66" i="6" s="1"/>
  <c r="M65" i="6"/>
  <c r="R65" i="6" s="1"/>
  <c r="L65" i="6"/>
  <c r="K65" i="6"/>
  <c r="J65" i="6"/>
  <c r="Q65" i="6" s="1"/>
  <c r="I65" i="6"/>
  <c r="H65" i="6"/>
  <c r="G65" i="6"/>
  <c r="P65" i="6" s="1"/>
  <c r="F65" i="6"/>
  <c r="O65" i="6" s="1"/>
  <c r="M64" i="6"/>
  <c r="R64" i="6" s="1"/>
  <c r="L64" i="6"/>
  <c r="K64" i="6"/>
  <c r="J64" i="6"/>
  <c r="Q64" i="6" s="1"/>
  <c r="I64" i="6"/>
  <c r="H64" i="6"/>
  <c r="G64" i="6"/>
  <c r="P64" i="6" s="1"/>
  <c r="F64" i="6"/>
  <c r="O64" i="6" s="1"/>
  <c r="R63" i="6"/>
  <c r="Q63" i="6"/>
  <c r="P63" i="6"/>
  <c r="O63" i="6"/>
  <c r="L63" i="6"/>
  <c r="Q60" i="6"/>
  <c r="M60" i="6"/>
  <c r="L60" i="6"/>
  <c r="R60" i="6" s="1"/>
  <c r="K60" i="6"/>
  <c r="J60" i="6"/>
  <c r="I60" i="6"/>
  <c r="H60" i="6"/>
  <c r="G60" i="6"/>
  <c r="P60" i="6" s="1"/>
  <c r="F60" i="6"/>
  <c r="O60" i="6" s="1"/>
  <c r="M59" i="6"/>
  <c r="L59" i="6"/>
  <c r="R59" i="6" s="1"/>
  <c r="K59" i="6"/>
  <c r="J59" i="6"/>
  <c r="Q59" i="6" s="1"/>
  <c r="I59" i="6"/>
  <c r="H59" i="6"/>
  <c r="G59" i="6"/>
  <c r="P59" i="6" s="1"/>
  <c r="F59" i="6"/>
  <c r="O59" i="6" s="1"/>
  <c r="Q58" i="6"/>
  <c r="M58" i="6"/>
  <c r="L58" i="6"/>
  <c r="R58" i="6" s="1"/>
  <c r="K58" i="6"/>
  <c r="J58" i="6"/>
  <c r="I58" i="6"/>
  <c r="H58" i="6"/>
  <c r="G58" i="6"/>
  <c r="P58" i="6" s="1"/>
  <c r="F58" i="6"/>
  <c r="O58" i="6" s="1"/>
  <c r="M57" i="6"/>
  <c r="L57" i="6"/>
  <c r="R57" i="6" s="1"/>
  <c r="K57" i="6"/>
  <c r="J57" i="6"/>
  <c r="Q57" i="6" s="1"/>
  <c r="I57" i="6"/>
  <c r="H57" i="6"/>
  <c r="G57" i="6"/>
  <c r="P57" i="6" s="1"/>
  <c r="F57" i="6"/>
  <c r="O57" i="6" s="1"/>
  <c r="Q56" i="6"/>
  <c r="M56" i="6"/>
  <c r="L56" i="6"/>
  <c r="R56" i="6" s="1"/>
  <c r="K56" i="6"/>
  <c r="J56" i="6"/>
  <c r="I56" i="6"/>
  <c r="H56" i="6"/>
  <c r="G56" i="6"/>
  <c r="P56" i="6" s="1"/>
  <c r="F56" i="6"/>
  <c r="O56" i="6" s="1"/>
  <c r="M55" i="6"/>
  <c r="L55" i="6"/>
  <c r="R55" i="6" s="1"/>
  <c r="K55" i="6"/>
  <c r="J55" i="6"/>
  <c r="Q55" i="6" s="1"/>
  <c r="I55" i="6"/>
  <c r="H55" i="6"/>
  <c r="G55" i="6"/>
  <c r="P55" i="6" s="1"/>
  <c r="F55" i="6"/>
  <c r="O55" i="6" s="1"/>
  <c r="Q54" i="6"/>
  <c r="M54" i="6"/>
  <c r="L54" i="6"/>
  <c r="R54" i="6" s="1"/>
  <c r="K54" i="6"/>
  <c r="J54" i="6"/>
  <c r="I54" i="6"/>
  <c r="H54" i="6"/>
  <c r="G54" i="6"/>
  <c r="P54" i="6" s="1"/>
  <c r="F54" i="6"/>
  <c r="O54" i="6" s="1"/>
  <c r="M53" i="6"/>
  <c r="L53" i="6"/>
  <c r="R53" i="6" s="1"/>
  <c r="K53" i="6"/>
  <c r="J53" i="6"/>
  <c r="Q53" i="6" s="1"/>
  <c r="I53" i="6"/>
  <c r="H53" i="6"/>
  <c r="G53" i="6"/>
  <c r="P53" i="6" s="1"/>
  <c r="F53" i="6"/>
  <c r="O53" i="6" s="1"/>
  <c r="Q52" i="6"/>
  <c r="M52" i="6"/>
  <c r="L52" i="6"/>
  <c r="R52" i="6" s="1"/>
  <c r="K52" i="6"/>
  <c r="J52" i="6"/>
  <c r="I52" i="6"/>
  <c r="H52" i="6"/>
  <c r="G52" i="6"/>
  <c r="P52" i="6" s="1"/>
  <c r="F52" i="6"/>
  <c r="O52" i="6" s="1"/>
  <c r="M51" i="6"/>
  <c r="L51" i="6"/>
  <c r="R51" i="6" s="1"/>
  <c r="K51" i="6"/>
  <c r="J51" i="6"/>
  <c r="Q51" i="6" s="1"/>
  <c r="I51" i="6"/>
  <c r="H51" i="6"/>
  <c r="G51" i="6"/>
  <c r="P51" i="6" s="1"/>
  <c r="F51" i="6"/>
  <c r="O51" i="6" s="1"/>
  <c r="Q50" i="6"/>
  <c r="M50" i="6"/>
  <c r="L50" i="6"/>
  <c r="R50" i="6" s="1"/>
  <c r="K50" i="6"/>
  <c r="J50" i="6"/>
  <c r="I50" i="6"/>
  <c r="H50" i="6"/>
  <c r="G50" i="6"/>
  <c r="P50" i="6" s="1"/>
  <c r="F50" i="6"/>
  <c r="O50" i="6" s="1"/>
  <c r="M49" i="6"/>
  <c r="L49" i="6"/>
  <c r="R49" i="6" s="1"/>
  <c r="K49" i="6"/>
  <c r="J49" i="6"/>
  <c r="Q49" i="6" s="1"/>
  <c r="I49" i="6"/>
  <c r="H49" i="6"/>
  <c r="G49" i="6"/>
  <c r="P49" i="6" s="1"/>
  <c r="F49" i="6"/>
  <c r="O49" i="6" s="1"/>
  <c r="Q48" i="6"/>
  <c r="M48" i="6"/>
  <c r="L48" i="6"/>
  <c r="R48" i="6" s="1"/>
  <c r="K48" i="6"/>
  <c r="J48" i="6"/>
  <c r="I48" i="6"/>
  <c r="H48" i="6"/>
  <c r="G48" i="6"/>
  <c r="P48" i="6" s="1"/>
  <c r="F48" i="6"/>
  <c r="O48" i="6" s="1"/>
  <c r="M47" i="6"/>
  <c r="L47" i="6"/>
  <c r="R47" i="6" s="1"/>
  <c r="K47" i="6"/>
  <c r="J47" i="6"/>
  <c r="Q47" i="6" s="1"/>
  <c r="I47" i="6"/>
  <c r="H47" i="6"/>
  <c r="G47" i="6"/>
  <c r="P47" i="6" s="1"/>
  <c r="F47" i="6"/>
  <c r="O47" i="6" s="1"/>
  <c r="Q46" i="6"/>
  <c r="M46" i="6"/>
  <c r="L46" i="6"/>
  <c r="R46" i="6" s="1"/>
  <c r="K46" i="6"/>
  <c r="J46" i="6"/>
  <c r="I46" i="6"/>
  <c r="H46" i="6"/>
  <c r="G46" i="6"/>
  <c r="P46" i="6" s="1"/>
  <c r="F46" i="6"/>
  <c r="O46" i="6" s="1"/>
  <c r="M45" i="6"/>
  <c r="L45" i="6"/>
  <c r="R45" i="6" s="1"/>
  <c r="K45" i="6"/>
  <c r="J45" i="6"/>
  <c r="Q45" i="6" s="1"/>
  <c r="I45" i="6"/>
  <c r="H45" i="6"/>
  <c r="G45" i="6"/>
  <c r="P45" i="6" s="1"/>
  <c r="F45" i="6"/>
  <c r="O45" i="6" s="1"/>
  <c r="Q44" i="6"/>
  <c r="M44" i="6"/>
  <c r="L44" i="6"/>
  <c r="R44" i="6" s="1"/>
  <c r="K44" i="6"/>
  <c r="J44" i="6"/>
  <c r="I44" i="6"/>
  <c r="H44" i="6"/>
  <c r="G44" i="6"/>
  <c r="P44" i="6" s="1"/>
  <c r="F44" i="6"/>
  <c r="O44" i="6" s="1"/>
  <c r="Q43" i="6"/>
  <c r="P43" i="6"/>
  <c r="O43" i="6"/>
  <c r="L43" i="6"/>
  <c r="R43" i="6" s="1"/>
  <c r="M40" i="6"/>
  <c r="L40" i="6"/>
  <c r="K40" i="6"/>
  <c r="J40" i="6"/>
  <c r="I40" i="6"/>
  <c r="R40" i="6" s="1"/>
  <c r="H40" i="6"/>
  <c r="Q40" i="6" s="1"/>
  <c r="G40" i="6"/>
  <c r="P40" i="6" s="1"/>
  <c r="F40" i="6"/>
  <c r="O40" i="6" s="1"/>
  <c r="M39" i="6"/>
  <c r="L39" i="6"/>
  <c r="R39" i="6" s="1"/>
  <c r="K39" i="6"/>
  <c r="J39" i="6"/>
  <c r="Q39" i="6" s="1"/>
  <c r="I39" i="6"/>
  <c r="H39" i="6"/>
  <c r="G39" i="6"/>
  <c r="P39" i="6" s="1"/>
  <c r="F39" i="6"/>
  <c r="O39" i="6" s="1"/>
  <c r="R38" i="6"/>
  <c r="M38" i="6"/>
  <c r="L38" i="6"/>
  <c r="K38" i="6"/>
  <c r="J38" i="6"/>
  <c r="Q38" i="6" s="1"/>
  <c r="I38" i="6"/>
  <c r="H38" i="6"/>
  <c r="G38" i="6"/>
  <c r="P38" i="6" s="1"/>
  <c r="F38" i="6"/>
  <c r="O38" i="6" s="1"/>
  <c r="B38" i="6"/>
  <c r="B39" i="6" s="1"/>
  <c r="B40" i="6" s="1"/>
  <c r="M37" i="6"/>
  <c r="L37" i="6"/>
  <c r="R37" i="6" s="1"/>
  <c r="K37" i="6"/>
  <c r="J37" i="6"/>
  <c r="Q37" i="6" s="1"/>
  <c r="I37" i="6"/>
  <c r="H37" i="6"/>
  <c r="G37" i="6"/>
  <c r="P37" i="6" s="1"/>
  <c r="F37" i="6"/>
  <c r="O37" i="6" s="1"/>
  <c r="Q36" i="6"/>
  <c r="M36" i="6"/>
  <c r="L36" i="6"/>
  <c r="R36" i="6" s="1"/>
  <c r="K36" i="6"/>
  <c r="J36" i="6"/>
  <c r="I36" i="6"/>
  <c r="H36" i="6"/>
  <c r="G36" i="6"/>
  <c r="P36" i="6" s="1"/>
  <c r="F36" i="6"/>
  <c r="O36" i="6" s="1"/>
  <c r="M35" i="6"/>
  <c r="L35" i="6"/>
  <c r="R35" i="6" s="1"/>
  <c r="K35" i="6"/>
  <c r="J35" i="6"/>
  <c r="Q35" i="6" s="1"/>
  <c r="I35" i="6"/>
  <c r="H35" i="6"/>
  <c r="G35" i="6"/>
  <c r="P35" i="6" s="1"/>
  <c r="F35" i="6"/>
  <c r="O35" i="6" s="1"/>
  <c r="Q34" i="6"/>
  <c r="M34" i="6"/>
  <c r="L34" i="6"/>
  <c r="R34" i="6" s="1"/>
  <c r="K34" i="6"/>
  <c r="J34" i="6"/>
  <c r="I34" i="6"/>
  <c r="H34" i="6"/>
  <c r="G34" i="6"/>
  <c r="P34" i="6" s="1"/>
  <c r="F34" i="6"/>
  <c r="O34" i="6" s="1"/>
  <c r="M33" i="6"/>
  <c r="L33" i="6"/>
  <c r="R33" i="6" s="1"/>
  <c r="K33" i="6"/>
  <c r="J33" i="6"/>
  <c r="Q33" i="6" s="1"/>
  <c r="I33" i="6"/>
  <c r="H33" i="6"/>
  <c r="G33" i="6"/>
  <c r="P33" i="6" s="1"/>
  <c r="F33" i="6"/>
  <c r="O33" i="6" s="1"/>
  <c r="M32" i="6"/>
  <c r="L32" i="6"/>
  <c r="R32" i="6" s="1"/>
  <c r="K32" i="6"/>
  <c r="J32" i="6"/>
  <c r="Q32" i="6" s="1"/>
  <c r="I32" i="6"/>
  <c r="H32" i="6"/>
  <c r="G32" i="6"/>
  <c r="P32" i="6" s="1"/>
  <c r="F32" i="6"/>
  <c r="O32" i="6" s="1"/>
  <c r="R31" i="6"/>
  <c r="P31" i="6"/>
  <c r="M31" i="6"/>
  <c r="L31" i="6"/>
  <c r="K31" i="6"/>
  <c r="J31" i="6"/>
  <c r="Q31" i="6" s="1"/>
  <c r="I31" i="6"/>
  <c r="H31" i="6"/>
  <c r="G31" i="6"/>
  <c r="F31" i="6"/>
  <c r="O31" i="6" s="1"/>
  <c r="B31" i="6"/>
  <c r="B32" i="6" s="1"/>
  <c r="B33" i="6" s="1"/>
  <c r="M30" i="6"/>
  <c r="L30" i="6"/>
  <c r="R30" i="6" s="1"/>
  <c r="K30" i="6"/>
  <c r="J30" i="6"/>
  <c r="Q30" i="6" s="1"/>
  <c r="I30" i="6"/>
  <c r="H30" i="6"/>
  <c r="G30" i="6"/>
  <c r="P30" i="6" s="1"/>
  <c r="F30" i="6"/>
  <c r="O30" i="6" s="1"/>
  <c r="Q29" i="6"/>
  <c r="M29" i="6"/>
  <c r="R29" i="6" s="1"/>
  <c r="L29" i="6"/>
  <c r="K29" i="6"/>
  <c r="J29" i="6"/>
  <c r="I29" i="6"/>
  <c r="H29" i="6"/>
  <c r="G29" i="6"/>
  <c r="P29" i="6" s="1"/>
  <c r="F29" i="6"/>
  <c r="O29" i="6" s="1"/>
  <c r="M28" i="6"/>
  <c r="L28" i="6"/>
  <c r="R28" i="6" s="1"/>
  <c r="K28" i="6"/>
  <c r="J28" i="6"/>
  <c r="Q28" i="6" s="1"/>
  <c r="I28" i="6"/>
  <c r="H28" i="6"/>
  <c r="G28" i="6"/>
  <c r="P28" i="6" s="1"/>
  <c r="F28" i="6"/>
  <c r="O28" i="6" s="1"/>
  <c r="B28" i="6"/>
  <c r="B34" i="6" s="1"/>
  <c r="R27" i="6"/>
  <c r="M27" i="6"/>
  <c r="L27" i="6"/>
  <c r="K27" i="6"/>
  <c r="J27" i="6"/>
  <c r="Q27" i="6" s="1"/>
  <c r="I27" i="6"/>
  <c r="H27" i="6"/>
  <c r="G27" i="6"/>
  <c r="P27" i="6" s="1"/>
  <c r="F27" i="6"/>
  <c r="O27" i="6" s="1"/>
  <c r="M26" i="6"/>
  <c r="L26" i="6"/>
  <c r="R26" i="6" s="1"/>
  <c r="K26" i="6"/>
  <c r="J26" i="6"/>
  <c r="Q26" i="6" s="1"/>
  <c r="I26" i="6"/>
  <c r="H26" i="6"/>
  <c r="G26" i="6"/>
  <c r="P26" i="6" s="1"/>
  <c r="F26" i="6"/>
  <c r="O26" i="6" s="1"/>
  <c r="R25" i="6"/>
  <c r="M25" i="6"/>
  <c r="L25" i="6"/>
  <c r="K25" i="6"/>
  <c r="J25" i="6"/>
  <c r="Q25" i="6" s="1"/>
  <c r="I25" i="6"/>
  <c r="H25" i="6"/>
  <c r="G25" i="6"/>
  <c r="P25" i="6" s="1"/>
  <c r="F25" i="6"/>
  <c r="O25" i="6" s="1"/>
  <c r="M24" i="6"/>
  <c r="L24" i="6"/>
  <c r="R24" i="6" s="1"/>
  <c r="K24" i="6"/>
  <c r="J24" i="6"/>
  <c r="Q24" i="6" s="1"/>
  <c r="I24" i="6"/>
  <c r="H24" i="6"/>
  <c r="G24" i="6"/>
  <c r="P24" i="6" s="1"/>
  <c r="F24" i="6"/>
  <c r="O24" i="6" s="1"/>
  <c r="R23" i="6"/>
  <c r="Q23" i="6"/>
  <c r="P23" i="6"/>
  <c r="O23" i="6"/>
  <c r="L23" i="6"/>
  <c r="L163" i="6" s="1"/>
  <c r="R163" i="6" s="1"/>
  <c r="R20" i="6"/>
  <c r="Q20" i="6"/>
  <c r="P20" i="6"/>
  <c r="O20" i="6"/>
  <c r="R19" i="6"/>
  <c r="Q19" i="6"/>
  <c r="P19" i="6"/>
  <c r="O19" i="6"/>
  <c r="C19" i="6"/>
  <c r="D19" i="6" s="1"/>
  <c r="R18" i="6"/>
  <c r="Q18" i="6"/>
  <c r="P18" i="6"/>
  <c r="O18" i="6"/>
  <c r="D18" i="6"/>
  <c r="R17" i="6"/>
  <c r="Q17" i="6"/>
  <c r="P17" i="6"/>
  <c r="O17" i="6"/>
  <c r="D17" i="6"/>
  <c r="C17" i="6"/>
  <c r="R16" i="6"/>
  <c r="Q16" i="6"/>
  <c r="P16" i="6"/>
  <c r="O16" i="6"/>
  <c r="D16" i="6"/>
  <c r="R15" i="6"/>
  <c r="Q15" i="6"/>
  <c r="P15" i="6"/>
  <c r="O15" i="6"/>
  <c r="D15" i="6"/>
  <c r="C15" i="6"/>
  <c r="R14" i="6"/>
  <c r="Q14" i="6"/>
  <c r="P14" i="6"/>
  <c r="O14" i="6"/>
  <c r="D14" i="6"/>
  <c r="R13" i="6"/>
  <c r="Q13" i="6"/>
  <c r="P13" i="6"/>
  <c r="O13" i="6"/>
  <c r="D13" i="6"/>
  <c r="C13" i="6"/>
  <c r="R12" i="6"/>
  <c r="Q12" i="6"/>
  <c r="P12" i="6"/>
  <c r="O12" i="6"/>
  <c r="C12" i="6"/>
  <c r="D12" i="6" s="1"/>
  <c r="R11" i="6"/>
  <c r="Q11" i="6"/>
  <c r="P11" i="6"/>
  <c r="O11" i="6"/>
  <c r="D11" i="6"/>
  <c r="R10" i="6"/>
  <c r="Q10" i="6"/>
  <c r="P10" i="6"/>
  <c r="O10" i="6"/>
  <c r="D10" i="6"/>
  <c r="R9" i="6"/>
  <c r="Q9" i="6"/>
  <c r="P9" i="6"/>
  <c r="O9" i="6"/>
  <c r="C9" i="6"/>
  <c r="D9" i="6" s="1"/>
  <c r="R8" i="6"/>
  <c r="Q8" i="6"/>
  <c r="P8" i="6"/>
  <c r="O8" i="6"/>
  <c r="C8" i="6"/>
  <c r="D8" i="6" s="1"/>
  <c r="R7" i="6"/>
  <c r="Q7" i="6"/>
  <c r="P7" i="6"/>
  <c r="O7" i="6"/>
  <c r="D7" i="6"/>
  <c r="R6" i="6"/>
  <c r="Q6" i="6"/>
  <c r="P6" i="6"/>
  <c r="O6" i="6"/>
  <c r="C6" i="6"/>
  <c r="D6" i="6" s="1"/>
  <c r="R5" i="6"/>
  <c r="Q5" i="6"/>
  <c r="P5" i="6"/>
  <c r="O5" i="6"/>
  <c r="D5" i="6"/>
  <c r="C5" i="6"/>
  <c r="R4" i="6"/>
  <c r="Q4" i="6"/>
  <c r="P4" i="6"/>
  <c r="O4" i="6"/>
  <c r="C4" i="6"/>
  <c r="D4" i="6" s="1"/>
  <c r="R3" i="6"/>
  <c r="D3" i="6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46" i="2"/>
  <c r="M69" i="5"/>
  <c r="M70" i="5"/>
  <c r="M71" i="5"/>
  <c r="M72" i="5"/>
  <c r="M73" i="5"/>
  <c r="M74" i="5"/>
  <c r="M75" i="5"/>
  <c r="M76" i="5"/>
  <c r="M77" i="5"/>
  <c r="M78" i="5"/>
  <c r="M79" i="5"/>
  <c r="M80" i="5"/>
  <c r="M81" i="5"/>
  <c r="M82" i="5"/>
  <c r="M83" i="5"/>
  <c r="M84" i="5"/>
  <c r="M85" i="5"/>
  <c r="M68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46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68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46" i="5"/>
  <c r="N85" i="5"/>
  <c r="B38" i="5"/>
  <c r="D37" i="5"/>
  <c r="B39" i="5" s="1"/>
  <c r="B20" i="5"/>
  <c r="E17" i="5"/>
  <c r="B17" i="5"/>
  <c r="E16" i="5"/>
  <c r="E19" i="5" s="1"/>
  <c r="R160" i="4"/>
  <c r="M160" i="4"/>
  <c r="L160" i="4"/>
  <c r="K160" i="4"/>
  <c r="J160" i="4"/>
  <c r="Q160" i="4" s="1"/>
  <c r="I160" i="4"/>
  <c r="H160" i="4"/>
  <c r="G160" i="4"/>
  <c r="P160" i="4" s="1"/>
  <c r="F160" i="4"/>
  <c r="O160" i="4" s="1"/>
  <c r="O159" i="4"/>
  <c r="M159" i="4"/>
  <c r="L159" i="4"/>
  <c r="R159" i="4" s="1"/>
  <c r="K159" i="4"/>
  <c r="Q159" i="4" s="1"/>
  <c r="J159" i="4"/>
  <c r="I159" i="4"/>
  <c r="H159" i="4"/>
  <c r="G159" i="4"/>
  <c r="P159" i="4" s="1"/>
  <c r="F159" i="4"/>
  <c r="M158" i="4"/>
  <c r="L158" i="4"/>
  <c r="R158" i="4" s="1"/>
  <c r="K158" i="4"/>
  <c r="J158" i="4"/>
  <c r="Q158" i="4" s="1"/>
  <c r="I158" i="4"/>
  <c r="H158" i="4"/>
  <c r="G158" i="4"/>
  <c r="P158" i="4" s="1"/>
  <c r="F158" i="4"/>
  <c r="O158" i="4" s="1"/>
  <c r="O157" i="4"/>
  <c r="M157" i="4"/>
  <c r="L157" i="4"/>
  <c r="R157" i="4" s="1"/>
  <c r="K157" i="4"/>
  <c r="Q157" i="4" s="1"/>
  <c r="J157" i="4"/>
  <c r="I157" i="4"/>
  <c r="H157" i="4"/>
  <c r="G157" i="4"/>
  <c r="P157" i="4" s="1"/>
  <c r="F157" i="4"/>
  <c r="R156" i="4"/>
  <c r="M156" i="4"/>
  <c r="L156" i="4"/>
  <c r="K156" i="4"/>
  <c r="J156" i="4"/>
  <c r="Q156" i="4" s="1"/>
  <c r="I156" i="4"/>
  <c r="H156" i="4"/>
  <c r="G156" i="4"/>
  <c r="P156" i="4" s="1"/>
  <c r="F156" i="4"/>
  <c r="O156" i="4" s="1"/>
  <c r="M155" i="4"/>
  <c r="L155" i="4"/>
  <c r="R155" i="4" s="1"/>
  <c r="K155" i="4"/>
  <c r="Q155" i="4" s="1"/>
  <c r="J155" i="4"/>
  <c r="I155" i="4"/>
  <c r="H155" i="4"/>
  <c r="G155" i="4"/>
  <c r="P155" i="4" s="1"/>
  <c r="F155" i="4"/>
  <c r="O155" i="4" s="1"/>
  <c r="R154" i="4"/>
  <c r="M154" i="4"/>
  <c r="L154" i="4"/>
  <c r="K154" i="4"/>
  <c r="J154" i="4"/>
  <c r="Q154" i="4" s="1"/>
  <c r="I154" i="4"/>
  <c r="H154" i="4"/>
  <c r="G154" i="4"/>
  <c r="P154" i="4" s="1"/>
  <c r="F154" i="4"/>
  <c r="O154" i="4" s="1"/>
  <c r="O153" i="4"/>
  <c r="M153" i="4"/>
  <c r="L153" i="4"/>
  <c r="R153" i="4" s="1"/>
  <c r="K153" i="4"/>
  <c r="Q153" i="4" s="1"/>
  <c r="J153" i="4"/>
  <c r="I153" i="4"/>
  <c r="H153" i="4"/>
  <c r="G153" i="4"/>
  <c r="P153" i="4" s="1"/>
  <c r="F153" i="4"/>
  <c r="R152" i="4"/>
  <c r="M152" i="4"/>
  <c r="L152" i="4"/>
  <c r="K152" i="4"/>
  <c r="J152" i="4"/>
  <c r="Q152" i="4" s="1"/>
  <c r="I152" i="4"/>
  <c r="H152" i="4"/>
  <c r="G152" i="4"/>
  <c r="P152" i="4" s="1"/>
  <c r="F152" i="4"/>
  <c r="O152" i="4" s="1"/>
  <c r="M151" i="4"/>
  <c r="L151" i="4"/>
  <c r="R151" i="4" s="1"/>
  <c r="K151" i="4"/>
  <c r="Q151" i="4" s="1"/>
  <c r="J151" i="4"/>
  <c r="I151" i="4"/>
  <c r="H151" i="4"/>
  <c r="G151" i="4"/>
  <c r="P151" i="4" s="1"/>
  <c r="F151" i="4"/>
  <c r="O151" i="4" s="1"/>
  <c r="R150" i="4"/>
  <c r="M150" i="4"/>
  <c r="L150" i="4"/>
  <c r="K150" i="4"/>
  <c r="J150" i="4"/>
  <c r="Q150" i="4" s="1"/>
  <c r="I150" i="4"/>
  <c r="H150" i="4"/>
  <c r="G150" i="4"/>
  <c r="P150" i="4" s="1"/>
  <c r="F150" i="4"/>
  <c r="O150" i="4" s="1"/>
  <c r="M149" i="4"/>
  <c r="L149" i="4"/>
  <c r="R149" i="4" s="1"/>
  <c r="K149" i="4"/>
  <c r="Q149" i="4" s="1"/>
  <c r="J149" i="4"/>
  <c r="I149" i="4"/>
  <c r="H149" i="4"/>
  <c r="G149" i="4"/>
  <c r="P149" i="4" s="1"/>
  <c r="F149" i="4"/>
  <c r="O149" i="4" s="1"/>
  <c r="R148" i="4"/>
  <c r="M148" i="4"/>
  <c r="L148" i="4"/>
  <c r="K148" i="4"/>
  <c r="J148" i="4"/>
  <c r="Q148" i="4" s="1"/>
  <c r="I148" i="4"/>
  <c r="H148" i="4"/>
  <c r="G148" i="4"/>
  <c r="P148" i="4" s="1"/>
  <c r="F148" i="4"/>
  <c r="O148" i="4" s="1"/>
  <c r="O147" i="4"/>
  <c r="M147" i="4"/>
  <c r="L147" i="4"/>
  <c r="R147" i="4" s="1"/>
  <c r="K147" i="4"/>
  <c r="Q147" i="4" s="1"/>
  <c r="J147" i="4"/>
  <c r="I147" i="4"/>
  <c r="H147" i="4"/>
  <c r="G147" i="4"/>
  <c r="P147" i="4" s="1"/>
  <c r="F147" i="4"/>
  <c r="M146" i="4"/>
  <c r="L146" i="4"/>
  <c r="R146" i="4" s="1"/>
  <c r="K146" i="4"/>
  <c r="J146" i="4"/>
  <c r="Q146" i="4" s="1"/>
  <c r="I146" i="4"/>
  <c r="H146" i="4"/>
  <c r="G146" i="4"/>
  <c r="P146" i="4" s="1"/>
  <c r="F146" i="4"/>
  <c r="O146" i="4" s="1"/>
  <c r="O145" i="4"/>
  <c r="M145" i="4"/>
  <c r="L145" i="4"/>
  <c r="R145" i="4" s="1"/>
  <c r="K145" i="4"/>
  <c r="Q145" i="4" s="1"/>
  <c r="J145" i="4"/>
  <c r="I145" i="4"/>
  <c r="H145" i="4"/>
  <c r="G145" i="4"/>
  <c r="P145" i="4" s="1"/>
  <c r="F145" i="4"/>
  <c r="M144" i="4"/>
  <c r="L144" i="4"/>
  <c r="R144" i="4" s="1"/>
  <c r="K144" i="4"/>
  <c r="J144" i="4"/>
  <c r="Q144" i="4" s="1"/>
  <c r="I144" i="4"/>
  <c r="H144" i="4"/>
  <c r="G144" i="4"/>
  <c r="P144" i="4" s="1"/>
  <c r="F144" i="4"/>
  <c r="O144" i="4" s="1"/>
  <c r="Q143" i="4"/>
  <c r="P143" i="4"/>
  <c r="O143" i="4"/>
  <c r="L143" i="4"/>
  <c r="R143" i="4" s="1"/>
  <c r="R140" i="4"/>
  <c r="M140" i="4"/>
  <c r="L140" i="4"/>
  <c r="K140" i="4"/>
  <c r="Q140" i="4" s="1"/>
  <c r="J140" i="4"/>
  <c r="I140" i="4"/>
  <c r="H140" i="4"/>
  <c r="G140" i="4"/>
  <c r="P140" i="4" s="1"/>
  <c r="F140" i="4"/>
  <c r="O140" i="4" s="1"/>
  <c r="P139" i="4"/>
  <c r="M139" i="4"/>
  <c r="L139" i="4"/>
  <c r="R139" i="4" s="1"/>
  <c r="K139" i="4"/>
  <c r="J139" i="4"/>
  <c r="Q139" i="4" s="1"/>
  <c r="I139" i="4"/>
  <c r="H139" i="4"/>
  <c r="G139" i="4"/>
  <c r="F139" i="4"/>
  <c r="O139" i="4" s="1"/>
  <c r="R138" i="4"/>
  <c r="M138" i="4"/>
  <c r="L138" i="4"/>
  <c r="K138" i="4"/>
  <c r="Q138" i="4" s="1"/>
  <c r="J138" i="4"/>
  <c r="I138" i="4"/>
  <c r="H138" i="4"/>
  <c r="G138" i="4"/>
  <c r="P138" i="4" s="1"/>
  <c r="F138" i="4"/>
  <c r="O138" i="4" s="1"/>
  <c r="M137" i="4"/>
  <c r="L137" i="4"/>
  <c r="R137" i="4" s="1"/>
  <c r="K137" i="4"/>
  <c r="J137" i="4"/>
  <c r="Q137" i="4" s="1"/>
  <c r="I137" i="4"/>
  <c r="H137" i="4"/>
  <c r="G137" i="4"/>
  <c r="P137" i="4" s="1"/>
  <c r="F137" i="4"/>
  <c r="O137" i="4" s="1"/>
  <c r="R136" i="4"/>
  <c r="M136" i="4"/>
  <c r="L136" i="4"/>
  <c r="K136" i="4"/>
  <c r="Q136" i="4" s="1"/>
  <c r="J136" i="4"/>
  <c r="I136" i="4"/>
  <c r="H136" i="4"/>
  <c r="G136" i="4"/>
  <c r="P136" i="4" s="1"/>
  <c r="F136" i="4"/>
  <c r="O136" i="4" s="1"/>
  <c r="P135" i="4"/>
  <c r="M135" i="4"/>
  <c r="L135" i="4"/>
  <c r="R135" i="4" s="1"/>
  <c r="K135" i="4"/>
  <c r="J135" i="4"/>
  <c r="Q135" i="4" s="1"/>
  <c r="I135" i="4"/>
  <c r="H135" i="4"/>
  <c r="G135" i="4"/>
  <c r="F135" i="4"/>
  <c r="O135" i="4" s="1"/>
  <c r="R134" i="4"/>
  <c r="M134" i="4"/>
  <c r="L134" i="4"/>
  <c r="K134" i="4"/>
  <c r="Q134" i="4" s="1"/>
  <c r="J134" i="4"/>
  <c r="I134" i="4"/>
  <c r="H134" i="4"/>
  <c r="G134" i="4"/>
  <c r="P134" i="4" s="1"/>
  <c r="F134" i="4"/>
  <c r="O134" i="4" s="1"/>
  <c r="M133" i="4"/>
  <c r="L133" i="4"/>
  <c r="R133" i="4" s="1"/>
  <c r="K133" i="4"/>
  <c r="J133" i="4"/>
  <c r="Q133" i="4" s="1"/>
  <c r="I133" i="4"/>
  <c r="H133" i="4"/>
  <c r="G133" i="4"/>
  <c r="P133" i="4" s="1"/>
  <c r="F133" i="4"/>
  <c r="O133" i="4" s="1"/>
  <c r="R132" i="4"/>
  <c r="M132" i="4"/>
  <c r="L132" i="4"/>
  <c r="K132" i="4"/>
  <c r="Q132" i="4" s="1"/>
  <c r="J132" i="4"/>
  <c r="I132" i="4"/>
  <c r="H132" i="4"/>
  <c r="G132" i="4"/>
  <c r="P132" i="4" s="1"/>
  <c r="F132" i="4"/>
  <c r="O132" i="4" s="1"/>
  <c r="Q131" i="4"/>
  <c r="M131" i="4"/>
  <c r="L131" i="4"/>
  <c r="R131" i="4" s="1"/>
  <c r="K131" i="4"/>
  <c r="J131" i="4"/>
  <c r="I131" i="4"/>
  <c r="H131" i="4"/>
  <c r="G131" i="4"/>
  <c r="P131" i="4" s="1"/>
  <c r="F131" i="4"/>
  <c r="O131" i="4" s="1"/>
  <c r="R130" i="4"/>
  <c r="M130" i="4"/>
  <c r="L130" i="4"/>
  <c r="K130" i="4"/>
  <c r="Q130" i="4" s="1"/>
  <c r="J130" i="4"/>
  <c r="I130" i="4"/>
  <c r="H130" i="4"/>
  <c r="G130" i="4"/>
  <c r="P130" i="4" s="1"/>
  <c r="F130" i="4"/>
  <c r="O130" i="4" s="1"/>
  <c r="M129" i="4"/>
  <c r="L129" i="4"/>
  <c r="R129" i="4" s="1"/>
  <c r="K129" i="4"/>
  <c r="J129" i="4"/>
  <c r="Q129" i="4" s="1"/>
  <c r="I129" i="4"/>
  <c r="H129" i="4"/>
  <c r="G129" i="4"/>
  <c r="P129" i="4" s="1"/>
  <c r="F129" i="4"/>
  <c r="O129" i="4" s="1"/>
  <c r="R128" i="4"/>
  <c r="M128" i="4"/>
  <c r="L128" i="4"/>
  <c r="K128" i="4"/>
  <c r="Q128" i="4" s="1"/>
  <c r="J128" i="4"/>
  <c r="I128" i="4"/>
  <c r="H128" i="4"/>
  <c r="G128" i="4"/>
  <c r="P128" i="4" s="1"/>
  <c r="F128" i="4"/>
  <c r="O128" i="4" s="1"/>
  <c r="M127" i="4"/>
  <c r="L127" i="4"/>
  <c r="R127" i="4" s="1"/>
  <c r="K127" i="4"/>
  <c r="J127" i="4"/>
  <c r="Q127" i="4" s="1"/>
  <c r="I127" i="4"/>
  <c r="H127" i="4"/>
  <c r="G127" i="4"/>
  <c r="P127" i="4" s="1"/>
  <c r="F127" i="4"/>
  <c r="O127" i="4" s="1"/>
  <c r="R126" i="4"/>
  <c r="M126" i="4"/>
  <c r="L126" i="4"/>
  <c r="K126" i="4"/>
  <c r="Q126" i="4" s="1"/>
  <c r="J126" i="4"/>
  <c r="I126" i="4"/>
  <c r="H126" i="4"/>
  <c r="G126" i="4"/>
  <c r="P126" i="4" s="1"/>
  <c r="F126" i="4"/>
  <c r="O126" i="4" s="1"/>
  <c r="P125" i="4"/>
  <c r="M125" i="4"/>
  <c r="L125" i="4"/>
  <c r="R125" i="4" s="1"/>
  <c r="K125" i="4"/>
  <c r="J125" i="4"/>
  <c r="Q125" i="4" s="1"/>
  <c r="I125" i="4"/>
  <c r="H125" i="4"/>
  <c r="G125" i="4"/>
  <c r="F125" i="4"/>
  <c r="O125" i="4" s="1"/>
  <c r="R124" i="4"/>
  <c r="M124" i="4"/>
  <c r="L124" i="4"/>
  <c r="K124" i="4"/>
  <c r="Q124" i="4" s="1"/>
  <c r="J124" i="4"/>
  <c r="I124" i="4"/>
  <c r="H124" i="4"/>
  <c r="G124" i="4"/>
  <c r="P124" i="4" s="1"/>
  <c r="F124" i="4"/>
  <c r="O124" i="4" s="1"/>
  <c r="Q123" i="4"/>
  <c r="P123" i="4"/>
  <c r="O123" i="4"/>
  <c r="L123" i="4"/>
  <c r="R123" i="4" s="1"/>
  <c r="M120" i="4"/>
  <c r="L120" i="4"/>
  <c r="R120" i="4" s="1"/>
  <c r="K120" i="4"/>
  <c r="J120" i="4"/>
  <c r="Q120" i="4" s="1"/>
  <c r="I120" i="4"/>
  <c r="H120" i="4"/>
  <c r="G120" i="4"/>
  <c r="P120" i="4" s="1"/>
  <c r="F120" i="4"/>
  <c r="O120" i="4" s="1"/>
  <c r="Q119" i="4"/>
  <c r="M119" i="4"/>
  <c r="L119" i="4"/>
  <c r="R119" i="4" s="1"/>
  <c r="K119" i="4"/>
  <c r="J119" i="4"/>
  <c r="I119" i="4"/>
  <c r="H119" i="4"/>
  <c r="G119" i="4"/>
  <c r="P119" i="4" s="1"/>
  <c r="F119" i="4"/>
  <c r="O119" i="4" s="1"/>
  <c r="M118" i="4"/>
  <c r="L118" i="4"/>
  <c r="R118" i="4" s="1"/>
  <c r="K118" i="4"/>
  <c r="J118" i="4"/>
  <c r="Q118" i="4" s="1"/>
  <c r="I118" i="4"/>
  <c r="H118" i="4"/>
  <c r="G118" i="4"/>
  <c r="P118" i="4" s="1"/>
  <c r="F118" i="4"/>
  <c r="O118" i="4" s="1"/>
  <c r="Q117" i="4"/>
  <c r="M117" i="4"/>
  <c r="L117" i="4"/>
  <c r="R117" i="4" s="1"/>
  <c r="K117" i="4"/>
  <c r="J117" i="4"/>
  <c r="I117" i="4"/>
  <c r="H117" i="4"/>
  <c r="G117" i="4"/>
  <c r="P117" i="4" s="1"/>
  <c r="F117" i="4"/>
  <c r="O117" i="4" s="1"/>
  <c r="M116" i="4"/>
  <c r="L116" i="4"/>
  <c r="R116" i="4" s="1"/>
  <c r="K116" i="4"/>
  <c r="J116" i="4"/>
  <c r="Q116" i="4" s="1"/>
  <c r="I116" i="4"/>
  <c r="H116" i="4"/>
  <c r="G116" i="4"/>
  <c r="P116" i="4" s="1"/>
  <c r="F116" i="4"/>
  <c r="O116" i="4" s="1"/>
  <c r="Q115" i="4"/>
  <c r="M115" i="4"/>
  <c r="L115" i="4"/>
  <c r="R115" i="4" s="1"/>
  <c r="K115" i="4"/>
  <c r="J115" i="4"/>
  <c r="I115" i="4"/>
  <c r="H115" i="4"/>
  <c r="G115" i="4"/>
  <c r="P115" i="4" s="1"/>
  <c r="F115" i="4"/>
  <c r="O115" i="4" s="1"/>
  <c r="M114" i="4"/>
  <c r="L114" i="4"/>
  <c r="R114" i="4" s="1"/>
  <c r="K114" i="4"/>
  <c r="J114" i="4"/>
  <c r="Q114" i="4" s="1"/>
  <c r="I114" i="4"/>
  <c r="H114" i="4"/>
  <c r="G114" i="4"/>
  <c r="P114" i="4" s="1"/>
  <c r="F114" i="4"/>
  <c r="O114" i="4" s="1"/>
  <c r="Q113" i="4"/>
  <c r="M113" i="4"/>
  <c r="L113" i="4"/>
  <c r="R113" i="4" s="1"/>
  <c r="K113" i="4"/>
  <c r="J113" i="4"/>
  <c r="I113" i="4"/>
  <c r="H113" i="4"/>
  <c r="G113" i="4"/>
  <c r="P113" i="4" s="1"/>
  <c r="F113" i="4"/>
  <c r="O113" i="4" s="1"/>
  <c r="M112" i="4"/>
  <c r="L112" i="4"/>
  <c r="R112" i="4" s="1"/>
  <c r="K112" i="4"/>
  <c r="J112" i="4"/>
  <c r="Q112" i="4" s="1"/>
  <c r="I112" i="4"/>
  <c r="H112" i="4"/>
  <c r="G112" i="4"/>
  <c r="P112" i="4" s="1"/>
  <c r="F112" i="4"/>
  <c r="O112" i="4" s="1"/>
  <c r="Q111" i="4"/>
  <c r="M111" i="4"/>
  <c r="L111" i="4"/>
  <c r="R111" i="4" s="1"/>
  <c r="K111" i="4"/>
  <c r="J111" i="4"/>
  <c r="I111" i="4"/>
  <c r="H111" i="4"/>
  <c r="G111" i="4"/>
  <c r="P111" i="4" s="1"/>
  <c r="F111" i="4"/>
  <c r="O111" i="4" s="1"/>
  <c r="M110" i="4"/>
  <c r="L110" i="4"/>
  <c r="R110" i="4" s="1"/>
  <c r="K110" i="4"/>
  <c r="J110" i="4"/>
  <c r="Q110" i="4" s="1"/>
  <c r="I110" i="4"/>
  <c r="H110" i="4"/>
  <c r="G110" i="4"/>
  <c r="P110" i="4" s="1"/>
  <c r="F110" i="4"/>
  <c r="O110" i="4" s="1"/>
  <c r="Q109" i="4"/>
  <c r="M109" i="4"/>
  <c r="L109" i="4"/>
  <c r="R109" i="4" s="1"/>
  <c r="K109" i="4"/>
  <c r="J109" i="4"/>
  <c r="I109" i="4"/>
  <c r="H109" i="4"/>
  <c r="G109" i="4"/>
  <c r="P109" i="4" s="1"/>
  <c r="F109" i="4"/>
  <c r="O109" i="4" s="1"/>
  <c r="M108" i="4"/>
  <c r="L108" i="4"/>
  <c r="R108" i="4" s="1"/>
  <c r="K108" i="4"/>
  <c r="J108" i="4"/>
  <c r="Q108" i="4" s="1"/>
  <c r="I108" i="4"/>
  <c r="H108" i="4"/>
  <c r="G108" i="4"/>
  <c r="P108" i="4" s="1"/>
  <c r="F108" i="4"/>
  <c r="O108" i="4" s="1"/>
  <c r="Q107" i="4"/>
  <c r="M107" i="4"/>
  <c r="L107" i="4"/>
  <c r="R107" i="4" s="1"/>
  <c r="K107" i="4"/>
  <c r="J107" i="4"/>
  <c r="I107" i="4"/>
  <c r="H107" i="4"/>
  <c r="G107" i="4"/>
  <c r="P107" i="4" s="1"/>
  <c r="F107" i="4"/>
  <c r="O107" i="4" s="1"/>
  <c r="M106" i="4"/>
  <c r="L106" i="4"/>
  <c r="R106" i="4" s="1"/>
  <c r="K106" i="4"/>
  <c r="J106" i="4"/>
  <c r="Q106" i="4" s="1"/>
  <c r="I106" i="4"/>
  <c r="H106" i="4"/>
  <c r="G106" i="4"/>
  <c r="P106" i="4" s="1"/>
  <c r="F106" i="4"/>
  <c r="O106" i="4" s="1"/>
  <c r="Q105" i="4"/>
  <c r="M105" i="4"/>
  <c r="L105" i="4"/>
  <c r="R105" i="4" s="1"/>
  <c r="K105" i="4"/>
  <c r="J105" i="4"/>
  <c r="I105" i="4"/>
  <c r="H105" i="4"/>
  <c r="G105" i="4"/>
  <c r="P105" i="4" s="1"/>
  <c r="F105" i="4"/>
  <c r="O105" i="4" s="1"/>
  <c r="M104" i="4"/>
  <c r="L104" i="4"/>
  <c r="R104" i="4" s="1"/>
  <c r="K104" i="4"/>
  <c r="J104" i="4"/>
  <c r="Q104" i="4" s="1"/>
  <c r="I104" i="4"/>
  <c r="H104" i="4"/>
  <c r="G104" i="4"/>
  <c r="P104" i="4" s="1"/>
  <c r="F104" i="4"/>
  <c r="O104" i="4" s="1"/>
  <c r="Q103" i="4"/>
  <c r="P103" i="4"/>
  <c r="O103" i="4"/>
  <c r="L103" i="4"/>
  <c r="R103" i="4" s="1"/>
  <c r="M100" i="4"/>
  <c r="L100" i="4"/>
  <c r="R100" i="4" s="1"/>
  <c r="K100" i="4"/>
  <c r="J100" i="4"/>
  <c r="Q100" i="4" s="1"/>
  <c r="I100" i="4"/>
  <c r="H100" i="4"/>
  <c r="G100" i="4"/>
  <c r="P100" i="4" s="1"/>
  <c r="F100" i="4"/>
  <c r="O100" i="4" s="1"/>
  <c r="R99" i="4"/>
  <c r="M99" i="4"/>
  <c r="L99" i="4"/>
  <c r="K99" i="4"/>
  <c r="J99" i="4"/>
  <c r="Q99" i="4" s="1"/>
  <c r="I99" i="4"/>
  <c r="H99" i="4"/>
  <c r="G99" i="4"/>
  <c r="P99" i="4" s="1"/>
  <c r="F99" i="4"/>
  <c r="O99" i="4" s="1"/>
  <c r="M98" i="4"/>
  <c r="L98" i="4"/>
  <c r="R98" i="4" s="1"/>
  <c r="K98" i="4"/>
  <c r="J98" i="4"/>
  <c r="Q98" i="4" s="1"/>
  <c r="I98" i="4"/>
  <c r="H98" i="4"/>
  <c r="G98" i="4"/>
  <c r="P98" i="4" s="1"/>
  <c r="F98" i="4"/>
  <c r="O98" i="4" s="1"/>
  <c r="R97" i="4"/>
  <c r="M97" i="4"/>
  <c r="L97" i="4"/>
  <c r="K97" i="4"/>
  <c r="J97" i="4"/>
  <c r="Q97" i="4" s="1"/>
  <c r="I97" i="4"/>
  <c r="H97" i="4"/>
  <c r="G97" i="4"/>
  <c r="P97" i="4" s="1"/>
  <c r="F97" i="4"/>
  <c r="O97" i="4" s="1"/>
  <c r="M96" i="4"/>
  <c r="R96" i="4" s="1"/>
  <c r="L96" i="4"/>
  <c r="K96" i="4"/>
  <c r="J96" i="4"/>
  <c r="Q96" i="4" s="1"/>
  <c r="I96" i="4"/>
  <c r="H96" i="4"/>
  <c r="G96" i="4"/>
  <c r="P96" i="4" s="1"/>
  <c r="F96" i="4"/>
  <c r="O96" i="4" s="1"/>
  <c r="R95" i="4"/>
  <c r="M95" i="4"/>
  <c r="L95" i="4"/>
  <c r="K95" i="4"/>
  <c r="J95" i="4"/>
  <c r="Q95" i="4" s="1"/>
  <c r="I95" i="4"/>
  <c r="H95" i="4"/>
  <c r="G95" i="4"/>
  <c r="P95" i="4" s="1"/>
  <c r="F95" i="4"/>
  <c r="O95" i="4" s="1"/>
  <c r="M94" i="4"/>
  <c r="R94" i="4" s="1"/>
  <c r="L94" i="4"/>
  <c r="K94" i="4"/>
  <c r="J94" i="4"/>
  <c r="Q94" i="4" s="1"/>
  <c r="I94" i="4"/>
  <c r="H94" i="4"/>
  <c r="G94" i="4"/>
  <c r="P94" i="4" s="1"/>
  <c r="F94" i="4"/>
  <c r="O94" i="4" s="1"/>
  <c r="R93" i="4"/>
  <c r="M93" i="4"/>
  <c r="L93" i="4"/>
  <c r="K93" i="4"/>
  <c r="J93" i="4"/>
  <c r="Q93" i="4" s="1"/>
  <c r="I93" i="4"/>
  <c r="H93" i="4"/>
  <c r="G93" i="4"/>
  <c r="P93" i="4" s="1"/>
  <c r="F93" i="4"/>
  <c r="O93" i="4" s="1"/>
  <c r="M92" i="4"/>
  <c r="R92" i="4" s="1"/>
  <c r="L92" i="4"/>
  <c r="K92" i="4"/>
  <c r="J92" i="4"/>
  <c r="Q92" i="4" s="1"/>
  <c r="I92" i="4"/>
  <c r="H92" i="4"/>
  <c r="G92" i="4"/>
  <c r="P92" i="4" s="1"/>
  <c r="F92" i="4"/>
  <c r="O92" i="4" s="1"/>
  <c r="R91" i="4"/>
  <c r="M91" i="4"/>
  <c r="L91" i="4"/>
  <c r="K91" i="4"/>
  <c r="J91" i="4"/>
  <c r="Q91" i="4" s="1"/>
  <c r="I91" i="4"/>
  <c r="H91" i="4"/>
  <c r="G91" i="4"/>
  <c r="P91" i="4" s="1"/>
  <c r="F91" i="4"/>
  <c r="O91" i="4" s="1"/>
  <c r="M90" i="4"/>
  <c r="R90" i="4" s="1"/>
  <c r="L90" i="4"/>
  <c r="K90" i="4"/>
  <c r="J90" i="4"/>
  <c r="Q90" i="4" s="1"/>
  <c r="I90" i="4"/>
  <c r="H90" i="4"/>
  <c r="G90" i="4"/>
  <c r="P90" i="4" s="1"/>
  <c r="F90" i="4"/>
  <c r="O90" i="4" s="1"/>
  <c r="R89" i="4"/>
  <c r="M89" i="4"/>
  <c r="L89" i="4"/>
  <c r="K89" i="4"/>
  <c r="J89" i="4"/>
  <c r="Q89" i="4" s="1"/>
  <c r="I89" i="4"/>
  <c r="H89" i="4"/>
  <c r="G89" i="4"/>
  <c r="P89" i="4" s="1"/>
  <c r="F89" i="4"/>
  <c r="O89" i="4" s="1"/>
  <c r="M88" i="4"/>
  <c r="R88" i="4" s="1"/>
  <c r="L88" i="4"/>
  <c r="K88" i="4"/>
  <c r="J88" i="4"/>
  <c r="Q88" i="4" s="1"/>
  <c r="I88" i="4"/>
  <c r="H88" i="4"/>
  <c r="G88" i="4"/>
  <c r="P88" i="4" s="1"/>
  <c r="F88" i="4"/>
  <c r="O88" i="4" s="1"/>
  <c r="R87" i="4"/>
  <c r="M87" i="4"/>
  <c r="L87" i="4"/>
  <c r="K87" i="4"/>
  <c r="J87" i="4"/>
  <c r="Q87" i="4" s="1"/>
  <c r="I87" i="4"/>
  <c r="H87" i="4"/>
  <c r="G87" i="4"/>
  <c r="P87" i="4" s="1"/>
  <c r="F87" i="4"/>
  <c r="O87" i="4" s="1"/>
  <c r="M86" i="4"/>
  <c r="L86" i="4"/>
  <c r="R86" i="4" s="1"/>
  <c r="K86" i="4"/>
  <c r="J86" i="4"/>
  <c r="Q86" i="4" s="1"/>
  <c r="I86" i="4"/>
  <c r="H86" i="4"/>
  <c r="G86" i="4"/>
  <c r="P86" i="4" s="1"/>
  <c r="F86" i="4"/>
  <c r="O86" i="4" s="1"/>
  <c r="R85" i="4"/>
  <c r="M85" i="4"/>
  <c r="L85" i="4"/>
  <c r="K85" i="4"/>
  <c r="J85" i="4"/>
  <c r="Q85" i="4" s="1"/>
  <c r="I85" i="4"/>
  <c r="H85" i="4"/>
  <c r="G85" i="4"/>
  <c r="P85" i="4" s="1"/>
  <c r="F85" i="4"/>
  <c r="O85" i="4" s="1"/>
  <c r="M84" i="4"/>
  <c r="L84" i="4"/>
  <c r="R84" i="4" s="1"/>
  <c r="K84" i="4"/>
  <c r="J84" i="4"/>
  <c r="Q84" i="4" s="1"/>
  <c r="I84" i="4"/>
  <c r="H84" i="4"/>
  <c r="G84" i="4"/>
  <c r="P84" i="4" s="1"/>
  <c r="F84" i="4"/>
  <c r="O84" i="4" s="1"/>
  <c r="R83" i="4"/>
  <c r="Q83" i="4"/>
  <c r="P83" i="4"/>
  <c r="O83" i="4"/>
  <c r="L83" i="4"/>
  <c r="M80" i="4"/>
  <c r="L80" i="4"/>
  <c r="R80" i="4" s="1"/>
  <c r="K80" i="4"/>
  <c r="Q80" i="4" s="1"/>
  <c r="J80" i="4"/>
  <c r="I80" i="4"/>
  <c r="H80" i="4"/>
  <c r="G80" i="4"/>
  <c r="P80" i="4" s="1"/>
  <c r="F80" i="4"/>
  <c r="O80" i="4" s="1"/>
  <c r="M79" i="4"/>
  <c r="L79" i="4"/>
  <c r="R79" i="4" s="1"/>
  <c r="K79" i="4"/>
  <c r="J79" i="4"/>
  <c r="Q79" i="4" s="1"/>
  <c r="I79" i="4"/>
  <c r="H79" i="4"/>
  <c r="G79" i="4"/>
  <c r="P79" i="4" s="1"/>
  <c r="F79" i="4"/>
  <c r="O79" i="4" s="1"/>
  <c r="M78" i="4"/>
  <c r="L78" i="4"/>
  <c r="R78" i="4" s="1"/>
  <c r="K78" i="4"/>
  <c r="J78" i="4"/>
  <c r="Q78" i="4" s="1"/>
  <c r="I78" i="4"/>
  <c r="H78" i="4"/>
  <c r="G78" i="4"/>
  <c r="P78" i="4" s="1"/>
  <c r="F78" i="4"/>
  <c r="O78" i="4" s="1"/>
  <c r="M77" i="4"/>
  <c r="L77" i="4"/>
  <c r="R77" i="4" s="1"/>
  <c r="K77" i="4"/>
  <c r="J77" i="4"/>
  <c r="Q77" i="4" s="1"/>
  <c r="I77" i="4"/>
  <c r="H77" i="4"/>
  <c r="G77" i="4"/>
  <c r="P77" i="4" s="1"/>
  <c r="F77" i="4"/>
  <c r="O77" i="4" s="1"/>
  <c r="M76" i="4"/>
  <c r="L76" i="4"/>
  <c r="R76" i="4" s="1"/>
  <c r="K76" i="4"/>
  <c r="J76" i="4"/>
  <c r="Q76" i="4" s="1"/>
  <c r="I76" i="4"/>
  <c r="H76" i="4"/>
  <c r="G76" i="4"/>
  <c r="P76" i="4" s="1"/>
  <c r="F76" i="4"/>
  <c r="O76" i="4" s="1"/>
  <c r="R75" i="4"/>
  <c r="M75" i="4"/>
  <c r="L75" i="4"/>
  <c r="K75" i="4"/>
  <c r="J75" i="4"/>
  <c r="Q75" i="4" s="1"/>
  <c r="I75" i="4"/>
  <c r="H75" i="4"/>
  <c r="G75" i="4"/>
  <c r="P75" i="4" s="1"/>
  <c r="F75" i="4"/>
  <c r="O75" i="4" s="1"/>
  <c r="M74" i="4"/>
  <c r="L74" i="4"/>
  <c r="R74" i="4" s="1"/>
  <c r="K74" i="4"/>
  <c r="J74" i="4"/>
  <c r="Q74" i="4" s="1"/>
  <c r="I74" i="4"/>
  <c r="H74" i="4"/>
  <c r="G74" i="4"/>
  <c r="P74" i="4" s="1"/>
  <c r="F74" i="4"/>
  <c r="O74" i="4" s="1"/>
  <c r="R73" i="4"/>
  <c r="M73" i="4"/>
  <c r="L73" i="4"/>
  <c r="K73" i="4"/>
  <c r="J73" i="4"/>
  <c r="Q73" i="4" s="1"/>
  <c r="I73" i="4"/>
  <c r="H73" i="4"/>
  <c r="G73" i="4"/>
  <c r="P73" i="4" s="1"/>
  <c r="F73" i="4"/>
  <c r="O73" i="4" s="1"/>
  <c r="M72" i="4"/>
  <c r="L72" i="4"/>
  <c r="R72" i="4" s="1"/>
  <c r="K72" i="4"/>
  <c r="J72" i="4"/>
  <c r="Q72" i="4" s="1"/>
  <c r="I72" i="4"/>
  <c r="H72" i="4"/>
  <c r="G72" i="4"/>
  <c r="P72" i="4" s="1"/>
  <c r="F72" i="4"/>
  <c r="O72" i="4" s="1"/>
  <c r="R71" i="4"/>
  <c r="M71" i="4"/>
  <c r="L71" i="4"/>
  <c r="K71" i="4"/>
  <c r="J71" i="4"/>
  <c r="Q71" i="4" s="1"/>
  <c r="I71" i="4"/>
  <c r="H71" i="4"/>
  <c r="G71" i="4"/>
  <c r="P71" i="4" s="1"/>
  <c r="F71" i="4"/>
  <c r="O71" i="4" s="1"/>
  <c r="M70" i="4"/>
  <c r="L70" i="4"/>
  <c r="R70" i="4" s="1"/>
  <c r="K70" i="4"/>
  <c r="J70" i="4"/>
  <c r="Q70" i="4" s="1"/>
  <c r="I70" i="4"/>
  <c r="H70" i="4"/>
  <c r="G70" i="4"/>
  <c r="P70" i="4" s="1"/>
  <c r="F70" i="4"/>
  <c r="O70" i="4" s="1"/>
  <c r="R69" i="4"/>
  <c r="M69" i="4"/>
  <c r="L69" i="4"/>
  <c r="K69" i="4"/>
  <c r="J69" i="4"/>
  <c r="Q69" i="4" s="1"/>
  <c r="I69" i="4"/>
  <c r="H69" i="4"/>
  <c r="G69" i="4"/>
  <c r="P69" i="4" s="1"/>
  <c r="F69" i="4"/>
  <c r="O69" i="4" s="1"/>
  <c r="O68" i="4"/>
  <c r="M68" i="4"/>
  <c r="L68" i="4"/>
  <c r="R68" i="4" s="1"/>
  <c r="K68" i="4"/>
  <c r="J68" i="4"/>
  <c r="Q68" i="4" s="1"/>
  <c r="I68" i="4"/>
  <c r="H68" i="4"/>
  <c r="G68" i="4"/>
  <c r="P68" i="4" s="1"/>
  <c r="F68" i="4"/>
  <c r="R67" i="4"/>
  <c r="M67" i="4"/>
  <c r="L67" i="4"/>
  <c r="K67" i="4"/>
  <c r="J67" i="4"/>
  <c r="Q67" i="4" s="1"/>
  <c r="I67" i="4"/>
  <c r="H67" i="4"/>
  <c r="G67" i="4"/>
  <c r="P67" i="4" s="1"/>
  <c r="F67" i="4"/>
  <c r="O67" i="4" s="1"/>
  <c r="M66" i="4"/>
  <c r="L66" i="4"/>
  <c r="R66" i="4" s="1"/>
  <c r="K66" i="4"/>
  <c r="J66" i="4"/>
  <c r="Q66" i="4" s="1"/>
  <c r="I66" i="4"/>
  <c r="H66" i="4"/>
  <c r="G66" i="4"/>
  <c r="P66" i="4" s="1"/>
  <c r="F66" i="4"/>
  <c r="O66" i="4" s="1"/>
  <c r="M65" i="4"/>
  <c r="L65" i="4"/>
  <c r="R65" i="4" s="1"/>
  <c r="K65" i="4"/>
  <c r="J65" i="4"/>
  <c r="Q65" i="4" s="1"/>
  <c r="I65" i="4"/>
  <c r="H65" i="4"/>
  <c r="G65" i="4"/>
  <c r="P65" i="4" s="1"/>
  <c r="F65" i="4"/>
  <c r="O65" i="4" s="1"/>
  <c r="M64" i="4"/>
  <c r="L64" i="4"/>
  <c r="R64" i="4" s="1"/>
  <c r="K64" i="4"/>
  <c r="J64" i="4"/>
  <c r="Q64" i="4" s="1"/>
  <c r="I64" i="4"/>
  <c r="H64" i="4"/>
  <c r="G64" i="4"/>
  <c r="P64" i="4" s="1"/>
  <c r="F64" i="4"/>
  <c r="O64" i="4" s="1"/>
  <c r="R63" i="4"/>
  <c r="Q63" i="4"/>
  <c r="P63" i="4"/>
  <c r="O63" i="4"/>
  <c r="L63" i="4"/>
  <c r="M60" i="4"/>
  <c r="L60" i="4"/>
  <c r="R60" i="4" s="1"/>
  <c r="K60" i="4"/>
  <c r="J60" i="4"/>
  <c r="Q60" i="4" s="1"/>
  <c r="I60" i="4"/>
  <c r="H60" i="4"/>
  <c r="G60" i="4"/>
  <c r="P60" i="4" s="1"/>
  <c r="F60" i="4"/>
  <c r="O60" i="4" s="1"/>
  <c r="R59" i="4"/>
  <c r="M59" i="4"/>
  <c r="L59" i="4"/>
  <c r="K59" i="4"/>
  <c r="Q59" i="4" s="1"/>
  <c r="J59" i="4"/>
  <c r="I59" i="4"/>
  <c r="H59" i="4"/>
  <c r="G59" i="4"/>
  <c r="P59" i="4" s="1"/>
  <c r="F59" i="4"/>
  <c r="O59" i="4" s="1"/>
  <c r="M58" i="4"/>
  <c r="L58" i="4"/>
  <c r="R58" i="4" s="1"/>
  <c r="K58" i="4"/>
  <c r="Q58" i="4" s="1"/>
  <c r="J58" i="4"/>
  <c r="I58" i="4"/>
  <c r="H58" i="4"/>
  <c r="G58" i="4"/>
  <c r="P58" i="4" s="1"/>
  <c r="F58" i="4"/>
  <c r="O58" i="4" s="1"/>
  <c r="R57" i="4"/>
  <c r="M57" i="4"/>
  <c r="L57" i="4"/>
  <c r="K57" i="4"/>
  <c r="Q57" i="4" s="1"/>
  <c r="J57" i="4"/>
  <c r="I57" i="4"/>
  <c r="H57" i="4"/>
  <c r="G57" i="4"/>
  <c r="P57" i="4" s="1"/>
  <c r="F57" i="4"/>
  <c r="O57" i="4" s="1"/>
  <c r="M56" i="4"/>
  <c r="L56" i="4"/>
  <c r="R56" i="4" s="1"/>
  <c r="K56" i="4"/>
  <c r="Q56" i="4" s="1"/>
  <c r="J56" i="4"/>
  <c r="I56" i="4"/>
  <c r="H56" i="4"/>
  <c r="G56" i="4"/>
  <c r="P56" i="4" s="1"/>
  <c r="F56" i="4"/>
  <c r="O56" i="4" s="1"/>
  <c r="R55" i="4"/>
  <c r="M55" i="4"/>
  <c r="L55" i="4"/>
  <c r="K55" i="4"/>
  <c r="Q55" i="4" s="1"/>
  <c r="J55" i="4"/>
  <c r="I55" i="4"/>
  <c r="H55" i="4"/>
  <c r="G55" i="4"/>
  <c r="P55" i="4" s="1"/>
  <c r="F55" i="4"/>
  <c r="O55" i="4" s="1"/>
  <c r="P54" i="4"/>
  <c r="M54" i="4"/>
  <c r="L54" i="4"/>
  <c r="R54" i="4" s="1"/>
  <c r="K54" i="4"/>
  <c r="Q54" i="4" s="1"/>
  <c r="J54" i="4"/>
  <c r="I54" i="4"/>
  <c r="H54" i="4"/>
  <c r="G54" i="4"/>
  <c r="F54" i="4"/>
  <c r="O54" i="4" s="1"/>
  <c r="R53" i="4"/>
  <c r="M53" i="4"/>
  <c r="L53" i="4"/>
  <c r="K53" i="4"/>
  <c r="Q53" i="4" s="1"/>
  <c r="J53" i="4"/>
  <c r="I53" i="4"/>
  <c r="H53" i="4"/>
  <c r="G53" i="4"/>
  <c r="P53" i="4" s="1"/>
  <c r="F53" i="4"/>
  <c r="O53" i="4" s="1"/>
  <c r="M52" i="4"/>
  <c r="L52" i="4"/>
  <c r="R52" i="4" s="1"/>
  <c r="K52" i="4"/>
  <c r="J52" i="4"/>
  <c r="Q52" i="4" s="1"/>
  <c r="I52" i="4"/>
  <c r="H52" i="4"/>
  <c r="G52" i="4"/>
  <c r="P52" i="4" s="1"/>
  <c r="F52" i="4"/>
  <c r="O52" i="4" s="1"/>
  <c r="R51" i="4"/>
  <c r="M51" i="4"/>
  <c r="L51" i="4"/>
  <c r="K51" i="4"/>
  <c r="Q51" i="4" s="1"/>
  <c r="J51" i="4"/>
  <c r="I51" i="4"/>
  <c r="H51" i="4"/>
  <c r="G51" i="4"/>
  <c r="P51" i="4" s="1"/>
  <c r="F51" i="4"/>
  <c r="O51" i="4" s="1"/>
  <c r="M50" i="4"/>
  <c r="L50" i="4"/>
  <c r="R50" i="4" s="1"/>
  <c r="K50" i="4"/>
  <c r="J50" i="4"/>
  <c r="Q50" i="4" s="1"/>
  <c r="I50" i="4"/>
  <c r="H50" i="4"/>
  <c r="G50" i="4"/>
  <c r="P50" i="4" s="1"/>
  <c r="F50" i="4"/>
  <c r="O50" i="4" s="1"/>
  <c r="R49" i="4"/>
  <c r="M49" i="4"/>
  <c r="L49" i="4"/>
  <c r="K49" i="4"/>
  <c r="Q49" i="4" s="1"/>
  <c r="J49" i="4"/>
  <c r="I49" i="4"/>
  <c r="H49" i="4"/>
  <c r="G49" i="4"/>
  <c r="P49" i="4" s="1"/>
  <c r="F49" i="4"/>
  <c r="O49" i="4" s="1"/>
  <c r="M48" i="4"/>
  <c r="L48" i="4"/>
  <c r="R48" i="4" s="1"/>
  <c r="K48" i="4"/>
  <c r="J48" i="4"/>
  <c r="Q48" i="4" s="1"/>
  <c r="I48" i="4"/>
  <c r="H48" i="4"/>
  <c r="G48" i="4"/>
  <c r="P48" i="4" s="1"/>
  <c r="F48" i="4"/>
  <c r="O48" i="4" s="1"/>
  <c r="M47" i="4"/>
  <c r="L47" i="4"/>
  <c r="R47" i="4" s="1"/>
  <c r="K47" i="4"/>
  <c r="J47" i="4"/>
  <c r="Q47" i="4" s="1"/>
  <c r="I47" i="4"/>
  <c r="H47" i="4"/>
  <c r="G47" i="4"/>
  <c r="P47" i="4" s="1"/>
  <c r="F47" i="4"/>
  <c r="O47" i="4" s="1"/>
  <c r="M46" i="4"/>
  <c r="L46" i="4"/>
  <c r="R46" i="4" s="1"/>
  <c r="K46" i="4"/>
  <c r="J46" i="4"/>
  <c r="Q46" i="4" s="1"/>
  <c r="I46" i="4"/>
  <c r="H46" i="4"/>
  <c r="G46" i="4"/>
  <c r="P46" i="4" s="1"/>
  <c r="F46" i="4"/>
  <c r="O46" i="4" s="1"/>
  <c r="M45" i="4"/>
  <c r="L45" i="4"/>
  <c r="R45" i="4" s="1"/>
  <c r="K45" i="4"/>
  <c r="J45" i="4"/>
  <c r="Q45" i="4" s="1"/>
  <c r="I45" i="4"/>
  <c r="H45" i="4"/>
  <c r="G45" i="4"/>
  <c r="P45" i="4" s="1"/>
  <c r="F45" i="4"/>
  <c r="O45" i="4" s="1"/>
  <c r="M44" i="4"/>
  <c r="R44" i="4" s="1"/>
  <c r="L44" i="4"/>
  <c r="K44" i="4"/>
  <c r="Q44" i="4" s="1"/>
  <c r="J44" i="4"/>
  <c r="I44" i="4"/>
  <c r="H44" i="4"/>
  <c r="G44" i="4"/>
  <c r="P44" i="4" s="1"/>
  <c r="F44" i="4"/>
  <c r="O44" i="4" s="1"/>
  <c r="Q43" i="4"/>
  <c r="P43" i="4"/>
  <c r="O43" i="4"/>
  <c r="L43" i="4"/>
  <c r="R43" i="4" s="1"/>
  <c r="M40" i="4"/>
  <c r="L40" i="4"/>
  <c r="K40" i="4"/>
  <c r="J40" i="4"/>
  <c r="I40" i="4"/>
  <c r="R40" i="4" s="1"/>
  <c r="H40" i="4"/>
  <c r="Q40" i="4" s="1"/>
  <c r="G40" i="4"/>
  <c r="P40" i="4" s="1"/>
  <c r="F40" i="4"/>
  <c r="O40" i="4" s="1"/>
  <c r="R39" i="4"/>
  <c r="M39" i="4"/>
  <c r="L39" i="4"/>
  <c r="K39" i="4"/>
  <c r="J39" i="4"/>
  <c r="Q39" i="4" s="1"/>
  <c r="I39" i="4"/>
  <c r="H39" i="4"/>
  <c r="G39" i="4"/>
  <c r="P39" i="4" s="1"/>
  <c r="F39" i="4"/>
  <c r="O39" i="4" s="1"/>
  <c r="M38" i="4"/>
  <c r="L38" i="4"/>
  <c r="R38" i="4" s="1"/>
  <c r="K38" i="4"/>
  <c r="J38" i="4"/>
  <c r="Q38" i="4" s="1"/>
  <c r="I38" i="4"/>
  <c r="H38" i="4"/>
  <c r="G38" i="4"/>
  <c r="P38" i="4" s="1"/>
  <c r="F38" i="4"/>
  <c r="O38" i="4" s="1"/>
  <c r="B38" i="4"/>
  <c r="B39" i="4" s="1"/>
  <c r="B40" i="4" s="1"/>
  <c r="R37" i="4"/>
  <c r="M37" i="4"/>
  <c r="L37" i="4"/>
  <c r="K37" i="4"/>
  <c r="J37" i="4"/>
  <c r="Q37" i="4" s="1"/>
  <c r="I37" i="4"/>
  <c r="H37" i="4"/>
  <c r="G37" i="4"/>
  <c r="P37" i="4" s="1"/>
  <c r="F37" i="4"/>
  <c r="O37" i="4" s="1"/>
  <c r="P36" i="4"/>
  <c r="M36" i="4"/>
  <c r="L36" i="4"/>
  <c r="R36" i="4" s="1"/>
  <c r="K36" i="4"/>
  <c r="J36" i="4"/>
  <c r="Q36" i="4" s="1"/>
  <c r="I36" i="4"/>
  <c r="H36" i="4"/>
  <c r="G36" i="4"/>
  <c r="F36" i="4"/>
  <c r="O36" i="4" s="1"/>
  <c r="M35" i="4"/>
  <c r="L35" i="4"/>
  <c r="R35" i="4" s="1"/>
  <c r="K35" i="4"/>
  <c r="J35" i="4"/>
  <c r="Q35" i="4" s="1"/>
  <c r="I35" i="4"/>
  <c r="H35" i="4"/>
  <c r="G35" i="4"/>
  <c r="P35" i="4" s="1"/>
  <c r="F35" i="4"/>
  <c r="O35" i="4" s="1"/>
  <c r="M34" i="4"/>
  <c r="L34" i="4"/>
  <c r="R34" i="4" s="1"/>
  <c r="K34" i="4"/>
  <c r="J34" i="4"/>
  <c r="Q34" i="4" s="1"/>
  <c r="I34" i="4"/>
  <c r="H34" i="4"/>
  <c r="G34" i="4"/>
  <c r="P34" i="4" s="1"/>
  <c r="F34" i="4"/>
  <c r="O34" i="4" s="1"/>
  <c r="M33" i="4"/>
  <c r="L33" i="4"/>
  <c r="R33" i="4" s="1"/>
  <c r="K33" i="4"/>
  <c r="J33" i="4"/>
  <c r="Q33" i="4" s="1"/>
  <c r="I33" i="4"/>
  <c r="H33" i="4"/>
  <c r="G33" i="4"/>
  <c r="P33" i="4" s="1"/>
  <c r="F33" i="4"/>
  <c r="O33" i="4" s="1"/>
  <c r="R32" i="4"/>
  <c r="M32" i="4"/>
  <c r="L32" i="4"/>
  <c r="K32" i="4"/>
  <c r="J32" i="4"/>
  <c r="Q32" i="4" s="1"/>
  <c r="I32" i="4"/>
  <c r="H32" i="4"/>
  <c r="G32" i="4"/>
  <c r="P32" i="4" s="1"/>
  <c r="F32" i="4"/>
  <c r="O32" i="4" s="1"/>
  <c r="M31" i="4"/>
  <c r="L31" i="4"/>
  <c r="R31" i="4" s="1"/>
  <c r="K31" i="4"/>
  <c r="Q31" i="4" s="1"/>
  <c r="J31" i="4"/>
  <c r="I31" i="4"/>
  <c r="H31" i="4"/>
  <c r="G31" i="4"/>
  <c r="P31" i="4" s="1"/>
  <c r="F31" i="4"/>
  <c r="O31" i="4" s="1"/>
  <c r="M30" i="4"/>
  <c r="L30" i="4"/>
  <c r="R30" i="4" s="1"/>
  <c r="K30" i="4"/>
  <c r="J30" i="4"/>
  <c r="Q30" i="4" s="1"/>
  <c r="I30" i="4"/>
  <c r="H30" i="4"/>
  <c r="G30" i="4"/>
  <c r="P30" i="4" s="1"/>
  <c r="F30" i="4"/>
  <c r="O30" i="4" s="1"/>
  <c r="P29" i="4"/>
  <c r="M29" i="4"/>
  <c r="L29" i="4"/>
  <c r="R29" i="4" s="1"/>
  <c r="K29" i="4"/>
  <c r="J29" i="4"/>
  <c r="Q29" i="4" s="1"/>
  <c r="I29" i="4"/>
  <c r="H29" i="4"/>
  <c r="G29" i="4"/>
  <c r="F29" i="4"/>
  <c r="O29" i="4" s="1"/>
  <c r="M28" i="4"/>
  <c r="L28" i="4"/>
  <c r="R28" i="4" s="1"/>
  <c r="K28" i="4"/>
  <c r="J28" i="4"/>
  <c r="Q28" i="4" s="1"/>
  <c r="I28" i="4"/>
  <c r="H28" i="4"/>
  <c r="G28" i="4"/>
  <c r="P28" i="4" s="1"/>
  <c r="F28" i="4"/>
  <c r="O28" i="4" s="1"/>
  <c r="B28" i="4"/>
  <c r="B31" i="4" s="1"/>
  <c r="B32" i="4" s="1"/>
  <c r="B33" i="4" s="1"/>
  <c r="Q27" i="4"/>
  <c r="M27" i="4"/>
  <c r="L27" i="4"/>
  <c r="R27" i="4" s="1"/>
  <c r="K27" i="4"/>
  <c r="J27" i="4"/>
  <c r="I27" i="4"/>
  <c r="H27" i="4"/>
  <c r="G27" i="4"/>
  <c r="P27" i="4" s="1"/>
  <c r="F27" i="4"/>
  <c r="O27" i="4" s="1"/>
  <c r="M26" i="4"/>
  <c r="L26" i="4"/>
  <c r="R26" i="4" s="1"/>
  <c r="K26" i="4"/>
  <c r="J26" i="4"/>
  <c r="Q26" i="4" s="1"/>
  <c r="I26" i="4"/>
  <c r="H26" i="4"/>
  <c r="G26" i="4"/>
  <c r="P26" i="4" s="1"/>
  <c r="F26" i="4"/>
  <c r="O26" i="4" s="1"/>
  <c r="R25" i="4"/>
  <c r="Q25" i="4"/>
  <c r="M25" i="4"/>
  <c r="L25" i="4"/>
  <c r="K25" i="4"/>
  <c r="J25" i="4"/>
  <c r="I25" i="4"/>
  <c r="H25" i="4"/>
  <c r="G25" i="4"/>
  <c r="P25" i="4" s="1"/>
  <c r="F25" i="4"/>
  <c r="O25" i="4" s="1"/>
  <c r="M24" i="4"/>
  <c r="L24" i="4"/>
  <c r="R24" i="4" s="1"/>
  <c r="K24" i="4"/>
  <c r="J24" i="4"/>
  <c r="Q24" i="4" s="1"/>
  <c r="I24" i="4"/>
  <c r="H24" i="4"/>
  <c r="G24" i="4"/>
  <c r="P24" i="4" s="1"/>
  <c r="F24" i="4"/>
  <c r="O24" i="4" s="1"/>
  <c r="R23" i="4"/>
  <c r="Q23" i="4"/>
  <c r="P23" i="4"/>
  <c r="O23" i="4"/>
  <c r="L23" i="4"/>
  <c r="R20" i="4"/>
  <c r="Q20" i="4"/>
  <c r="P20" i="4"/>
  <c r="O20" i="4"/>
  <c r="R19" i="4"/>
  <c r="Q19" i="4"/>
  <c r="P19" i="4"/>
  <c r="O19" i="4"/>
  <c r="C19" i="4"/>
  <c r="D19" i="4" s="1"/>
  <c r="R18" i="4"/>
  <c r="Q18" i="4"/>
  <c r="P18" i="4"/>
  <c r="O18" i="4"/>
  <c r="D18" i="4"/>
  <c r="R17" i="4"/>
  <c r="Q17" i="4"/>
  <c r="P17" i="4"/>
  <c r="O17" i="4"/>
  <c r="C17" i="4"/>
  <c r="D17" i="4" s="1"/>
  <c r="R16" i="4"/>
  <c r="Q16" i="4"/>
  <c r="P16" i="4"/>
  <c r="O16" i="4"/>
  <c r="D16" i="4"/>
  <c r="R15" i="4"/>
  <c r="Q15" i="4"/>
  <c r="P15" i="4"/>
  <c r="O15" i="4"/>
  <c r="C15" i="4"/>
  <c r="D15" i="4" s="1"/>
  <c r="R14" i="4"/>
  <c r="Q14" i="4"/>
  <c r="P14" i="4"/>
  <c r="O14" i="4"/>
  <c r="D14" i="4"/>
  <c r="R13" i="4"/>
  <c r="Q13" i="4"/>
  <c r="P13" i="4"/>
  <c r="O13" i="4"/>
  <c r="C13" i="4"/>
  <c r="D13" i="4" s="1"/>
  <c r="R12" i="4"/>
  <c r="Q12" i="4"/>
  <c r="P12" i="4"/>
  <c r="O12" i="4"/>
  <c r="C12" i="4"/>
  <c r="D12" i="4" s="1"/>
  <c r="R11" i="4"/>
  <c r="Q11" i="4"/>
  <c r="P11" i="4"/>
  <c r="O11" i="4"/>
  <c r="D11" i="4"/>
  <c r="R10" i="4"/>
  <c r="Q10" i="4"/>
  <c r="P10" i="4"/>
  <c r="O10" i="4"/>
  <c r="D10" i="4"/>
  <c r="R9" i="4"/>
  <c r="Q9" i="4"/>
  <c r="P9" i="4"/>
  <c r="O9" i="4"/>
  <c r="C9" i="4"/>
  <c r="D9" i="4" s="1"/>
  <c r="R8" i="4"/>
  <c r="Q8" i="4"/>
  <c r="P8" i="4"/>
  <c r="O8" i="4"/>
  <c r="C8" i="4"/>
  <c r="D8" i="4" s="1"/>
  <c r="R7" i="4"/>
  <c r="Q7" i="4"/>
  <c r="P7" i="4"/>
  <c r="O7" i="4"/>
  <c r="D7" i="4"/>
  <c r="R6" i="4"/>
  <c r="Q6" i="4"/>
  <c r="P6" i="4"/>
  <c r="O6" i="4"/>
  <c r="C6" i="4"/>
  <c r="D6" i="4" s="1"/>
  <c r="R5" i="4"/>
  <c r="Q5" i="4"/>
  <c r="P5" i="4"/>
  <c r="O5" i="4"/>
  <c r="C5" i="4"/>
  <c r="D5" i="4" s="1"/>
  <c r="R4" i="4"/>
  <c r="Q4" i="4"/>
  <c r="P4" i="4"/>
  <c r="O4" i="4"/>
  <c r="D4" i="4"/>
  <c r="C4" i="4"/>
  <c r="R3" i="4"/>
  <c r="D3" i="4"/>
  <c r="N85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68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46" i="2"/>
  <c r="R140" i="3"/>
  <c r="M140" i="3"/>
  <c r="L140" i="3"/>
  <c r="K140" i="3"/>
  <c r="J140" i="3"/>
  <c r="Q140" i="3" s="1"/>
  <c r="I140" i="3"/>
  <c r="H140" i="3"/>
  <c r="G140" i="3"/>
  <c r="P140" i="3" s="1"/>
  <c r="F140" i="3"/>
  <c r="O140" i="3" s="1"/>
  <c r="O139" i="3"/>
  <c r="M139" i="3"/>
  <c r="L139" i="3"/>
  <c r="R139" i="3" s="1"/>
  <c r="K139" i="3"/>
  <c r="Q139" i="3" s="1"/>
  <c r="J139" i="3"/>
  <c r="I139" i="3"/>
  <c r="H139" i="3"/>
  <c r="G139" i="3"/>
  <c r="P139" i="3" s="1"/>
  <c r="F139" i="3"/>
  <c r="M138" i="3"/>
  <c r="L138" i="3"/>
  <c r="R138" i="3" s="1"/>
  <c r="K138" i="3"/>
  <c r="J138" i="3"/>
  <c r="Q138" i="3" s="1"/>
  <c r="I138" i="3"/>
  <c r="H138" i="3"/>
  <c r="G138" i="3"/>
  <c r="P138" i="3" s="1"/>
  <c r="F138" i="3"/>
  <c r="O138" i="3" s="1"/>
  <c r="M137" i="3"/>
  <c r="L137" i="3"/>
  <c r="R137" i="3" s="1"/>
  <c r="K137" i="3"/>
  <c r="Q137" i="3" s="1"/>
  <c r="J137" i="3"/>
  <c r="I137" i="3"/>
  <c r="H137" i="3"/>
  <c r="G137" i="3"/>
  <c r="P137" i="3" s="1"/>
  <c r="F137" i="3"/>
  <c r="O137" i="3" s="1"/>
  <c r="M136" i="3"/>
  <c r="L136" i="3"/>
  <c r="R136" i="3" s="1"/>
  <c r="K136" i="3"/>
  <c r="J136" i="3"/>
  <c r="Q136" i="3" s="1"/>
  <c r="I136" i="3"/>
  <c r="H136" i="3"/>
  <c r="G136" i="3"/>
  <c r="P136" i="3" s="1"/>
  <c r="F136" i="3"/>
  <c r="O136" i="3" s="1"/>
  <c r="M135" i="3"/>
  <c r="L135" i="3"/>
  <c r="R135" i="3" s="1"/>
  <c r="K135" i="3"/>
  <c r="Q135" i="3" s="1"/>
  <c r="J135" i="3"/>
  <c r="I135" i="3"/>
  <c r="H135" i="3"/>
  <c r="G135" i="3"/>
  <c r="P135" i="3" s="1"/>
  <c r="F135" i="3"/>
  <c r="O135" i="3" s="1"/>
  <c r="M134" i="3"/>
  <c r="L134" i="3"/>
  <c r="R134" i="3" s="1"/>
  <c r="K134" i="3"/>
  <c r="J134" i="3"/>
  <c r="Q134" i="3" s="1"/>
  <c r="I134" i="3"/>
  <c r="H134" i="3"/>
  <c r="G134" i="3"/>
  <c r="P134" i="3" s="1"/>
  <c r="F134" i="3"/>
  <c r="O134" i="3" s="1"/>
  <c r="M133" i="3"/>
  <c r="L133" i="3"/>
  <c r="R133" i="3" s="1"/>
  <c r="K133" i="3"/>
  <c r="Q133" i="3" s="1"/>
  <c r="J133" i="3"/>
  <c r="I133" i="3"/>
  <c r="H133" i="3"/>
  <c r="G133" i="3"/>
  <c r="P133" i="3" s="1"/>
  <c r="F133" i="3"/>
  <c r="O133" i="3" s="1"/>
  <c r="M132" i="3"/>
  <c r="L132" i="3"/>
  <c r="R132" i="3" s="1"/>
  <c r="K132" i="3"/>
  <c r="J132" i="3"/>
  <c r="Q132" i="3" s="1"/>
  <c r="I132" i="3"/>
  <c r="H132" i="3"/>
  <c r="G132" i="3"/>
  <c r="P132" i="3" s="1"/>
  <c r="F132" i="3"/>
  <c r="O132" i="3" s="1"/>
  <c r="M131" i="3"/>
  <c r="L131" i="3"/>
  <c r="R131" i="3" s="1"/>
  <c r="K131" i="3"/>
  <c r="Q131" i="3" s="1"/>
  <c r="J131" i="3"/>
  <c r="I131" i="3"/>
  <c r="H131" i="3"/>
  <c r="G131" i="3"/>
  <c r="P131" i="3" s="1"/>
  <c r="F131" i="3"/>
  <c r="O131" i="3" s="1"/>
  <c r="M130" i="3"/>
  <c r="L130" i="3"/>
  <c r="R130" i="3" s="1"/>
  <c r="K130" i="3"/>
  <c r="J130" i="3"/>
  <c r="Q130" i="3" s="1"/>
  <c r="I130" i="3"/>
  <c r="H130" i="3"/>
  <c r="G130" i="3"/>
  <c r="P130" i="3" s="1"/>
  <c r="F130" i="3"/>
  <c r="O130" i="3" s="1"/>
  <c r="M129" i="3"/>
  <c r="L129" i="3"/>
  <c r="R129" i="3" s="1"/>
  <c r="K129" i="3"/>
  <c r="Q129" i="3" s="1"/>
  <c r="J129" i="3"/>
  <c r="I129" i="3"/>
  <c r="H129" i="3"/>
  <c r="G129" i="3"/>
  <c r="P129" i="3" s="1"/>
  <c r="F129" i="3"/>
  <c r="O129" i="3" s="1"/>
  <c r="M128" i="3"/>
  <c r="L128" i="3"/>
  <c r="R128" i="3" s="1"/>
  <c r="K128" i="3"/>
  <c r="J128" i="3"/>
  <c r="Q128" i="3" s="1"/>
  <c r="I128" i="3"/>
  <c r="H128" i="3"/>
  <c r="G128" i="3"/>
  <c r="P128" i="3" s="1"/>
  <c r="F128" i="3"/>
  <c r="O128" i="3" s="1"/>
  <c r="M127" i="3"/>
  <c r="L127" i="3"/>
  <c r="R127" i="3" s="1"/>
  <c r="K127" i="3"/>
  <c r="Q127" i="3" s="1"/>
  <c r="J127" i="3"/>
  <c r="I127" i="3"/>
  <c r="H127" i="3"/>
  <c r="G127" i="3"/>
  <c r="P127" i="3" s="1"/>
  <c r="F127" i="3"/>
  <c r="O127" i="3" s="1"/>
  <c r="M126" i="3"/>
  <c r="L126" i="3"/>
  <c r="R126" i="3" s="1"/>
  <c r="K126" i="3"/>
  <c r="J126" i="3"/>
  <c r="Q126" i="3" s="1"/>
  <c r="I126" i="3"/>
  <c r="H126" i="3"/>
  <c r="G126" i="3"/>
  <c r="P126" i="3" s="1"/>
  <c r="F126" i="3"/>
  <c r="O126" i="3" s="1"/>
  <c r="M125" i="3"/>
  <c r="L125" i="3"/>
  <c r="R125" i="3" s="1"/>
  <c r="K125" i="3"/>
  <c r="Q125" i="3" s="1"/>
  <c r="J125" i="3"/>
  <c r="I125" i="3"/>
  <c r="H125" i="3"/>
  <c r="G125" i="3"/>
  <c r="P125" i="3" s="1"/>
  <c r="F125" i="3"/>
  <c r="O125" i="3" s="1"/>
  <c r="R124" i="3"/>
  <c r="M124" i="3"/>
  <c r="L124" i="3"/>
  <c r="K124" i="3"/>
  <c r="J124" i="3"/>
  <c r="Q124" i="3" s="1"/>
  <c r="I124" i="3"/>
  <c r="H124" i="3"/>
  <c r="G124" i="3"/>
  <c r="P124" i="3" s="1"/>
  <c r="F124" i="3"/>
  <c r="O124" i="3" s="1"/>
  <c r="Q123" i="3"/>
  <c r="P123" i="3"/>
  <c r="O123" i="3"/>
  <c r="L123" i="3"/>
  <c r="R123" i="3" s="1"/>
  <c r="R120" i="3"/>
  <c r="M120" i="3"/>
  <c r="L120" i="3"/>
  <c r="K120" i="3"/>
  <c r="Q120" i="3" s="1"/>
  <c r="J120" i="3"/>
  <c r="I120" i="3"/>
  <c r="H120" i="3"/>
  <c r="G120" i="3"/>
  <c r="P120" i="3" s="1"/>
  <c r="F120" i="3"/>
  <c r="O120" i="3" s="1"/>
  <c r="M119" i="3"/>
  <c r="L119" i="3"/>
  <c r="R119" i="3" s="1"/>
  <c r="K119" i="3"/>
  <c r="J119" i="3"/>
  <c r="Q119" i="3" s="1"/>
  <c r="I119" i="3"/>
  <c r="H119" i="3"/>
  <c r="G119" i="3"/>
  <c r="P119" i="3" s="1"/>
  <c r="F119" i="3"/>
  <c r="O119" i="3" s="1"/>
  <c r="R118" i="3"/>
  <c r="M118" i="3"/>
  <c r="L118" i="3"/>
  <c r="K118" i="3"/>
  <c r="Q118" i="3" s="1"/>
  <c r="J118" i="3"/>
  <c r="I118" i="3"/>
  <c r="H118" i="3"/>
  <c r="G118" i="3"/>
  <c r="P118" i="3" s="1"/>
  <c r="F118" i="3"/>
  <c r="O118" i="3" s="1"/>
  <c r="P117" i="3"/>
  <c r="M117" i="3"/>
  <c r="L117" i="3"/>
  <c r="R117" i="3" s="1"/>
  <c r="K117" i="3"/>
  <c r="J117" i="3"/>
  <c r="Q117" i="3" s="1"/>
  <c r="I117" i="3"/>
  <c r="H117" i="3"/>
  <c r="G117" i="3"/>
  <c r="F117" i="3"/>
  <c r="O117" i="3" s="1"/>
  <c r="R116" i="3"/>
  <c r="M116" i="3"/>
  <c r="L116" i="3"/>
  <c r="K116" i="3"/>
  <c r="Q116" i="3" s="1"/>
  <c r="J116" i="3"/>
  <c r="I116" i="3"/>
  <c r="H116" i="3"/>
  <c r="G116" i="3"/>
  <c r="P116" i="3" s="1"/>
  <c r="F116" i="3"/>
  <c r="O116" i="3" s="1"/>
  <c r="P115" i="3"/>
  <c r="M115" i="3"/>
  <c r="L115" i="3"/>
  <c r="R115" i="3" s="1"/>
  <c r="K115" i="3"/>
  <c r="J115" i="3"/>
  <c r="Q115" i="3" s="1"/>
  <c r="I115" i="3"/>
  <c r="H115" i="3"/>
  <c r="G115" i="3"/>
  <c r="F115" i="3"/>
  <c r="O115" i="3" s="1"/>
  <c r="R114" i="3"/>
  <c r="M114" i="3"/>
  <c r="L114" i="3"/>
  <c r="K114" i="3"/>
  <c r="Q114" i="3" s="1"/>
  <c r="J114" i="3"/>
  <c r="I114" i="3"/>
  <c r="H114" i="3"/>
  <c r="G114" i="3"/>
  <c r="P114" i="3" s="1"/>
  <c r="F114" i="3"/>
  <c r="O114" i="3" s="1"/>
  <c r="P113" i="3"/>
  <c r="M113" i="3"/>
  <c r="L113" i="3"/>
  <c r="R113" i="3" s="1"/>
  <c r="K113" i="3"/>
  <c r="J113" i="3"/>
  <c r="Q113" i="3" s="1"/>
  <c r="I113" i="3"/>
  <c r="H113" i="3"/>
  <c r="G113" i="3"/>
  <c r="F113" i="3"/>
  <c r="O113" i="3" s="1"/>
  <c r="R112" i="3"/>
  <c r="M112" i="3"/>
  <c r="L112" i="3"/>
  <c r="K112" i="3"/>
  <c r="Q112" i="3" s="1"/>
  <c r="J112" i="3"/>
  <c r="I112" i="3"/>
  <c r="H112" i="3"/>
  <c r="G112" i="3"/>
  <c r="P112" i="3" s="1"/>
  <c r="F112" i="3"/>
  <c r="O112" i="3" s="1"/>
  <c r="M111" i="3"/>
  <c r="L111" i="3"/>
  <c r="R111" i="3" s="1"/>
  <c r="K111" i="3"/>
  <c r="J111" i="3"/>
  <c r="Q111" i="3" s="1"/>
  <c r="I111" i="3"/>
  <c r="H111" i="3"/>
  <c r="G111" i="3"/>
  <c r="P111" i="3" s="1"/>
  <c r="F111" i="3"/>
  <c r="O111" i="3" s="1"/>
  <c r="R110" i="3"/>
  <c r="M110" i="3"/>
  <c r="L110" i="3"/>
  <c r="K110" i="3"/>
  <c r="Q110" i="3" s="1"/>
  <c r="J110" i="3"/>
  <c r="I110" i="3"/>
  <c r="H110" i="3"/>
  <c r="G110" i="3"/>
  <c r="P110" i="3" s="1"/>
  <c r="F110" i="3"/>
  <c r="O110" i="3" s="1"/>
  <c r="P109" i="3"/>
  <c r="M109" i="3"/>
  <c r="L109" i="3"/>
  <c r="R109" i="3" s="1"/>
  <c r="K109" i="3"/>
  <c r="J109" i="3"/>
  <c r="Q109" i="3" s="1"/>
  <c r="I109" i="3"/>
  <c r="H109" i="3"/>
  <c r="G109" i="3"/>
  <c r="F109" i="3"/>
  <c r="O109" i="3" s="1"/>
  <c r="R108" i="3"/>
  <c r="M108" i="3"/>
  <c r="L108" i="3"/>
  <c r="K108" i="3"/>
  <c r="Q108" i="3" s="1"/>
  <c r="J108" i="3"/>
  <c r="I108" i="3"/>
  <c r="H108" i="3"/>
  <c r="G108" i="3"/>
  <c r="P108" i="3" s="1"/>
  <c r="F108" i="3"/>
  <c r="O108" i="3" s="1"/>
  <c r="M107" i="3"/>
  <c r="L107" i="3"/>
  <c r="R107" i="3" s="1"/>
  <c r="K107" i="3"/>
  <c r="J107" i="3"/>
  <c r="Q107" i="3" s="1"/>
  <c r="I107" i="3"/>
  <c r="H107" i="3"/>
  <c r="G107" i="3"/>
  <c r="P107" i="3" s="1"/>
  <c r="F107" i="3"/>
  <c r="O107" i="3" s="1"/>
  <c r="R106" i="3"/>
  <c r="M106" i="3"/>
  <c r="L106" i="3"/>
  <c r="K106" i="3"/>
  <c r="Q106" i="3" s="1"/>
  <c r="J106" i="3"/>
  <c r="I106" i="3"/>
  <c r="H106" i="3"/>
  <c r="G106" i="3"/>
  <c r="P106" i="3" s="1"/>
  <c r="F106" i="3"/>
  <c r="O106" i="3" s="1"/>
  <c r="P105" i="3"/>
  <c r="M105" i="3"/>
  <c r="L105" i="3"/>
  <c r="R105" i="3" s="1"/>
  <c r="K105" i="3"/>
  <c r="J105" i="3"/>
  <c r="Q105" i="3" s="1"/>
  <c r="I105" i="3"/>
  <c r="H105" i="3"/>
  <c r="G105" i="3"/>
  <c r="F105" i="3"/>
  <c r="O105" i="3" s="1"/>
  <c r="R104" i="3"/>
  <c r="M104" i="3"/>
  <c r="L104" i="3"/>
  <c r="K104" i="3"/>
  <c r="Q104" i="3" s="1"/>
  <c r="J104" i="3"/>
  <c r="I104" i="3"/>
  <c r="H104" i="3"/>
  <c r="G104" i="3"/>
  <c r="P104" i="3" s="1"/>
  <c r="F104" i="3"/>
  <c r="O104" i="3" s="1"/>
  <c r="Q103" i="3"/>
  <c r="P103" i="3"/>
  <c r="O103" i="3"/>
  <c r="L103" i="3"/>
  <c r="R103" i="3" s="1"/>
  <c r="M100" i="3"/>
  <c r="L100" i="3"/>
  <c r="R100" i="3" s="1"/>
  <c r="K100" i="3"/>
  <c r="J100" i="3"/>
  <c r="Q100" i="3" s="1"/>
  <c r="I100" i="3"/>
  <c r="H100" i="3"/>
  <c r="G100" i="3"/>
  <c r="P100" i="3" s="1"/>
  <c r="F100" i="3"/>
  <c r="O100" i="3" s="1"/>
  <c r="Q99" i="3"/>
  <c r="M99" i="3"/>
  <c r="L99" i="3"/>
  <c r="R99" i="3" s="1"/>
  <c r="K99" i="3"/>
  <c r="J99" i="3"/>
  <c r="I99" i="3"/>
  <c r="H99" i="3"/>
  <c r="G99" i="3"/>
  <c r="P99" i="3" s="1"/>
  <c r="F99" i="3"/>
  <c r="O99" i="3" s="1"/>
  <c r="M98" i="3"/>
  <c r="L98" i="3"/>
  <c r="R98" i="3" s="1"/>
  <c r="K98" i="3"/>
  <c r="J98" i="3"/>
  <c r="Q98" i="3" s="1"/>
  <c r="I98" i="3"/>
  <c r="H98" i="3"/>
  <c r="G98" i="3"/>
  <c r="P98" i="3" s="1"/>
  <c r="F98" i="3"/>
  <c r="O98" i="3" s="1"/>
  <c r="Q97" i="3"/>
  <c r="M97" i="3"/>
  <c r="L97" i="3"/>
  <c r="R97" i="3" s="1"/>
  <c r="K97" i="3"/>
  <c r="J97" i="3"/>
  <c r="I97" i="3"/>
  <c r="H97" i="3"/>
  <c r="G97" i="3"/>
  <c r="P97" i="3" s="1"/>
  <c r="F97" i="3"/>
  <c r="O97" i="3" s="1"/>
  <c r="M96" i="3"/>
  <c r="L96" i="3"/>
  <c r="R96" i="3" s="1"/>
  <c r="K96" i="3"/>
  <c r="J96" i="3"/>
  <c r="Q96" i="3" s="1"/>
  <c r="I96" i="3"/>
  <c r="H96" i="3"/>
  <c r="G96" i="3"/>
  <c r="P96" i="3" s="1"/>
  <c r="F96" i="3"/>
  <c r="O96" i="3" s="1"/>
  <c r="Q95" i="3"/>
  <c r="M95" i="3"/>
  <c r="L95" i="3"/>
  <c r="R95" i="3" s="1"/>
  <c r="K95" i="3"/>
  <c r="J95" i="3"/>
  <c r="I95" i="3"/>
  <c r="H95" i="3"/>
  <c r="G95" i="3"/>
  <c r="P95" i="3" s="1"/>
  <c r="F95" i="3"/>
  <c r="O95" i="3" s="1"/>
  <c r="M94" i="3"/>
  <c r="L94" i="3"/>
  <c r="R94" i="3" s="1"/>
  <c r="K94" i="3"/>
  <c r="J94" i="3"/>
  <c r="Q94" i="3" s="1"/>
  <c r="I94" i="3"/>
  <c r="H94" i="3"/>
  <c r="G94" i="3"/>
  <c r="P94" i="3" s="1"/>
  <c r="F94" i="3"/>
  <c r="O94" i="3" s="1"/>
  <c r="Q93" i="3"/>
  <c r="M93" i="3"/>
  <c r="L93" i="3"/>
  <c r="R93" i="3" s="1"/>
  <c r="K93" i="3"/>
  <c r="J93" i="3"/>
  <c r="I93" i="3"/>
  <c r="H93" i="3"/>
  <c r="G93" i="3"/>
  <c r="P93" i="3" s="1"/>
  <c r="F93" i="3"/>
  <c r="O93" i="3" s="1"/>
  <c r="M92" i="3"/>
  <c r="L92" i="3"/>
  <c r="R92" i="3" s="1"/>
  <c r="K92" i="3"/>
  <c r="J92" i="3"/>
  <c r="Q92" i="3" s="1"/>
  <c r="I92" i="3"/>
  <c r="H92" i="3"/>
  <c r="G92" i="3"/>
  <c r="P92" i="3" s="1"/>
  <c r="F92" i="3"/>
  <c r="O92" i="3" s="1"/>
  <c r="Q91" i="3"/>
  <c r="M91" i="3"/>
  <c r="L91" i="3"/>
  <c r="R91" i="3" s="1"/>
  <c r="K91" i="3"/>
  <c r="J91" i="3"/>
  <c r="I91" i="3"/>
  <c r="H91" i="3"/>
  <c r="G91" i="3"/>
  <c r="P91" i="3" s="1"/>
  <c r="F91" i="3"/>
  <c r="O91" i="3" s="1"/>
  <c r="M90" i="3"/>
  <c r="L90" i="3"/>
  <c r="R90" i="3" s="1"/>
  <c r="K90" i="3"/>
  <c r="J90" i="3"/>
  <c r="Q90" i="3" s="1"/>
  <c r="I90" i="3"/>
  <c r="H90" i="3"/>
  <c r="G90" i="3"/>
  <c r="P90" i="3" s="1"/>
  <c r="F90" i="3"/>
  <c r="O90" i="3" s="1"/>
  <c r="Q89" i="3"/>
  <c r="M89" i="3"/>
  <c r="L89" i="3"/>
  <c r="R89" i="3" s="1"/>
  <c r="K89" i="3"/>
  <c r="J89" i="3"/>
  <c r="I89" i="3"/>
  <c r="H89" i="3"/>
  <c r="G89" i="3"/>
  <c r="P89" i="3" s="1"/>
  <c r="F89" i="3"/>
  <c r="O89" i="3" s="1"/>
  <c r="M88" i="3"/>
  <c r="L88" i="3"/>
  <c r="R88" i="3" s="1"/>
  <c r="K88" i="3"/>
  <c r="J88" i="3"/>
  <c r="Q88" i="3" s="1"/>
  <c r="I88" i="3"/>
  <c r="H88" i="3"/>
  <c r="G88" i="3"/>
  <c r="P88" i="3" s="1"/>
  <c r="F88" i="3"/>
  <c r="O88" i="3" s="1"/>
  <c r="Q87" i="3"/>
  <c r="M87" i="3"/>
  <c r="L87" i="3"/>
  <c r="R87" i="3" s="1"/>
  <c r="K87" i="3"/>
  <c r="J87" i="3"/>
  <c r="I87" i="3"/>
  <c r="H87" i="3"/>
  <c r="G87" i="3"/>
  <c r="P87" i="3" s="1"/>
  <c r="F87" i="3"/>
  <c r="O87" i="3" s="1"/>
  <c r="M86" i="3"/>
  <c r="L86" i="3"/>
  <c r="R86" i="3" s="1"/>
  <c r="K86" i="3"/>
  <c r="J86" i="3"/>
  <c r="Q86" i="3" s="1"/>
  <c r="I86" i="3"/>
  <c r="H86" i="3"/>
  <c r="G86" i="3"/>
  <c r="P86" i="3" s="1"/>
  <c r="F86" i="3"/>
  <c r="O86" i="3" s="1"/>
  <c r="Q85" i="3"/>
  <c r="M85" i="3"/>
  <c r="L85" i="3"/>
  <c r="R85" i="3" s="1"/>
  <c r="K85" i="3"/>
  <c r="J85" i="3"/>
  <c r="I85" i="3"/>
  <c r="H85" i="3"/>
  <c r="G85" i="3"/>
  <c r="P85" i="3" s="1"/>
  <c r="F85" i="3"/>
  <c r="O85" i="3" s="1"/>
  <c r="M84" i="3"/>
  <c r="L84" i="3"/>
  <c r="R84" i="3" s="1"/>
  <c r="K84" i="3"/>
  <c r="J84" i="3"/>
  <c r="Q84" i="3" s="1"/>
  <c r="I84" i="3"/>
  <c r="H84" i="3"/>
  <c r="G84" i="3"/>
  <c r="P84" i="3" s="1"/>
  <c r="F84" i="3"/>
  <c r="O84" i="3" s="1"/>
  <c r="Q83" i="3"/>
  <c r="P83" i="3"/>
  <c r="O83" i="3"/>
  <c r="L83" i="3"/>
  <c r="R83" i="3" s="1"/>
  <c r="M80" i="3"/>
  <c r="L80" i="3"/>
  <c r="R80" i="3" s="1"/>
  <c r="K80" i="3"/>
  <c r="J80" i="3"/>
  <c r="Q80" i="3" s="1"/>
  <c r="I80" i="3"/>
  <c r="H80" i="3"/>
  <c r="G80" i="3"/>
  <c r="P80" i="3" s="1"/>
  <c r="F80" i="3"/>
  <c r="O80" i="3" s="1"/>
  <c r="R79" i="3"/>
  <c r="M79" i="3"/>
  <c r="L79" i="3"/>
  <c r="K79" i="3"/>
  <c r="J79" i="3"/>
  <c r="Q79" i="3" s="1"/>
  <c r="I79" i="3"/>
  <c r="H79" i="3"/>
  <c r="G79" i="3"/>
  <c r="P79" i="3" s="1"/>
  <c r="F79" i="3"/>
  <c r="O79" i="3" s="1"/>
  <c r="M78" i="3"/>
  <c r="L78" i="3"/>
  <c r="R78" i="3" s="1"/>
  <c r="K78" i="3"/>
  <c r="J78" i="3"/>
  <c r="Q78" i="3" s="1"/>
  <c r="I78" i="3"/>
  <c r="H78" i="3"/>
  <c r="G78" i="3"/>
  <c r="P78" i="3" s="1"/>
  <c r="F78" i="3"/>
  <c r="O78" i="3" s="1"/>
  <c r="R77" i="3"/>
  <c r="M77" i="3"/>
  <c r="L77" i="3"/>
  <c r="K77" i="3"/>
  <c r="J77" i="3"/>
  <c r="Q77" i="3" s="1"/>
  <c r="I77" i="3"/>
  <c r="H77" i="3"/>
  <c r="G77" i="3"/>
  <c r="P77" i="3" s="1"/>
  <c r="F77" i="3"/>
  <c r="O77" i="3" s="1"/>
  <c r="M76" i="3"/>
  <c r="L76" i="3"/>
  <c r="R76" i="3" s="1"/>
  <c r="K76" i="3"/>
  <c r="J76" i="3"/>
  <c r="Q76" i="3" s="1"/>
  <c r="I76" i="3"/>
  <c r="H76" i="3"/>
  <c r="G76" i="3"/>
  <c r="P76" i="3" s="1"/>
  <c r="F76" i="3"/>
  <c r="O76" i="3" s="1"/>
  <c r="R75" i="3"/>
  <c r="M75" i="3"/>
  <c r="L75" i="3"/>
  <c r="K75" i="3"/>
  <c r="J75" i="3"/>
  <c r="Q75" i="3" s="1"/>
  <c r="I75" i="3"/>
  <c r="H75" i="3"/>
  <c r="G75" i="3"/>
  <c r="P75" i="3" s="1"/>
  <c r="F75" i="3"/>
  <c r="O75" i="3" s="1"/>
  <c r="M74" i="3"/>
  <c r="L74" i="3"/>
  <c r="R74" i="3" s="1"/>
  <c r="K74" i="3"/>
  <c r="J74" i="3"/>
  <c r="Q74" i="3" s="1"/>
  <c r="I74" i="3"/>
  <c r="H74" i="3"/>
  <c r="G74" i="3"/>
  <c r="P74" i="3" s="1"/>
  <c r="F74" i="3"/>
  <c r="O74" i="3" s="1"/>
  <c r="R73" i="3"/>
  <c r="M73" i="3"/>
  <c r="L73" i="3"/>
  <c r="K73" i="3"/>
  <c r="J73" i="3"/>
  <c r="Q73" i="3" s="1"/>
  <c r="I73" i="3"/>
  <c r="H73" i="3"/>
  <c r="G73" i="3"/>
  <c r="P73" i="3" s="1"/>
  <c r="F73" i="3"/>
  <c r="O73" i="3" s="1"/>
  <c r="M72" i="3"/>
  <c r="L72" i="3"/>
  <c r="R72" i="3" s="1"/>
  <c r="K72" i="3"/>
  <c r="J72" i="3"/>
  <c r="Q72" i="3" s="1"/>
  <c r="I72" i="3"/>
  <c r="H72" i="3"/>
  <c r="G72" i="3"/>
  <c r="P72" i="3" s="1"/>
  <c r="F72" i="3"/>
  <c r="O72" i="3" s="1"/>
  <c r="R71" i="3"/>
  <c r="M71" i="3"/>
  <c r="L71" i="3"/>
  <c r="K71" i="3"/>
  <c r="J71" i="3"/>
  <c r="Q71" i="3" s="1"/>
  <c r="I71" i="3"/>
  <c r="H71" i="3"/>
  <c r="G71" i="3"/>
  <c r="P71" i="3" s="1"/>
  <c r="F71" i="3"/>
  <c r="O71" i="3" s="1"/>
  <c r="M70" i="3"/>
  <c r="L70" i="3"/>
  <c r="R70" i="3" s="1"/>
  <c r="K70" i="3"/>
  <c r="J70" i="3"/>
  <c r="Q70" i="3" s="1"/>
  <c r="I70" i="3"/>
  <c r="H70" i="3"/>
  <c r="G70" i="3"/>
  <c r="P70" i="3" s="1"/>
  <c r="F70" i="3"/>
  <c r="O70" i="3" s="1"/>
  <c r="R69" i="3"/>
  <c r="M69" i="3"/>
  <c r="L69" i="3"/>
  <c r="K69" i="3"/>
  <c r="J69" i="3"/>
  <c r="Q69" i="3" s="1"/>
  <c r="I69" i="3"/>
  <c r="H69" i="3"/>
  <c r="G69" i="3"/>
  <c r="P69" i="3" s="1"/>
  <c r="F69" i="3"/>
  <c r="O69" i="3" s="1"/>
  <c r="M68" i="3"/>
  <c r="L68" i="3"/>
  <c r="R68" i="3" s="1"/>
  <c r="K68" i="3"/>
  <c r="J68" i="3"/>
  <c r="Q68" i="3" s="1"/>
  <c r="I68" i="3"/>
  <c r="H68" i="3"/>
  <c r="G68" i="3"/>
  <c r="P68" i="3" s="1"/>
  <c r="F68" i="3"/>
  <c r="O68" i="3" s="1"/>
  <c r="R67" i="3"/>
  <c r="M67" i="3"/>
  <c r="L67" i="3"/>
  <c r="K67" i="3"/>
  <c r="J67" i="3"/>
  <c r="Q67" i="3" s="1"/>
  <c r="I67" i="3"/>
  <c r="H67" i="3"/>
  <c r="G67" i="3"/>
  <c r="P67" i="3" s="1"/>
  <c r="F67" i="3"/>
  <c r="O67" i="3" s="1"/>
  <c r="M66" i="3"/>
  <c r="L66" i="3"/>
  <c r="R66" i="3" s="1"/>
  <c r="K66" i="3"/>
  <c r="J66" i="3"/>
  <c r="Q66" i="3" s="1"/>
  <c r="I66" i="3"/>
  <c r="H66" i="3"/>
  <c r="G66" i="3"/>
  <c r="P66" i="3" s="1"/>
  <c r="F66" i="3"/>
  <c r="O66" i="3" s="1"/>
  <c r="R65" i="3"/>
  <c r="M65" i="3"/>
  <c r="L65" i="3"/>
  <c r="K65" i="3"/>
  <c r="J65" i="3"/>
  <c r="Q65" i="3" s="1"/>
  <c r="I65" i="3"/>
  <c r="H65" i="3"/>
  <c r="G65" i="3"/>
  <c r="P65" i="3" s="1"/>
  <c r="F65" i="3"/>
  <c r="O65" i="3" s="1"/>
  <c r="M64" i="3"/>
  <c r="L64" i="3"/>
  <c r="R64" i="3" s="1"/>
  <c r="K64" i="3"/>
  <c r="J64" i="3"/>
  <c r="Q64" i="3" s="1"/>
  <c r="I64" i="3"/>
  <c r="H64" i="3"/>
  <c r="G64" i="3"/>
  <c r="P64" i="3" s="1"/>
  <c r="F64" i="3"/>
  <c r="O64" i="3" s="1"/>
  <c r="R63" i="3"/>
  <c r="Q63" i="3"/>
  <c r="P63" i="3"/>
  <c r="O63" i="3"/>
  <c r="L63" i="3"/>
  <c r="O60" i="3"/>
  <c r="M60" i="3"/>
  <c r="L60" i="3"/>
  <c r="R60" i="3" s="1"/>
  <c r="K60" i="3"/>
  <c r="J60" i="3"/>
  <c r="Q60" i="3" s="1"/>
  <c r="I60" i="3"/>
  <c r="H60" i="3"/>
  <c r="G60" i="3"/>
  <c r="P60" i="3" s="1"/>
  <c r="F60" i="3"/>
  <c r="M59" i="3"/>
  <c r="L59" i="3"/>
  <c r="R59" i="3" s="1"/>
  <c r="K59" i="3"/>
  <c r="J59" i="3"/>
  <c r="Q59" i="3" s="1"/>
  <c r="I59" i="3"/>
  <c r="H59" i="3"/>
  <c r="G59" i="3"/>
  <c r="P59" i="3" s="1"/>
  <c r="F59" i="3"/>
  <c r="O59" i="3" s="1"/>
  <c r="M58" i="3"/>
  <c r="L58" i="3"/>
  <c r="R58" i="3" s="1"/>
  <c r="K58" i="3"/>
  <c r="J58" i="3"/>
  <c r="Q58" i="3" s="1"/>
  <c r="I58" i="3"/>
  <c r="H58" i="3"/>
  <c r="G58" i="3"/>
  <c r="P58" i="3" s="1"/>
  <c r="F58" i="3"/>
  <c r="O58" i="3" s="1"/>
  <c r="M57" i="3"/>
  <c r="L57" i="3"/>
  <c r="R57" i="3" s="1"/>
  <c r="K57" i="3"/>
  <c r="J57" i="3"/>
  <c r="Q57" i="3" s="1"/>
  <c r="I57" i="3"/>
  <c r="H57" i="3"/>
  <c r="G57" i="3"/>
  <c r="P57" i="3" s="1"/>
  <c r="F57" i="3"/>
  <c r="O57" i="3" s="1"/>
  <c r="O56" i="3"/>
  <c r="M56" i="3"/>
  <c r="L56" i="3"/>
  <c r="R56" i="3" s="1"/>
  <c r="K56" i="3"/>
  <c r="J56" i="3"/>
  <c r="Q56" i="3" s="1"/>
  <c r="I56" i="3"/>
  <c r="H56" i="3"/>
  <c r="G56" i="3"/>
  <c r="P56" i="3" s="1"/>
  <c r="F56" i="3"/>
  <c r="M55" i="3"/>
  <c r="L55" i="3"/>
  <c r="R55" i="3" s="1"/>
  <c r="K55" i="3"/>
  <c r="J55" i="3"/>
  <c r="Q55" i="3" s="1"/>
  <c r="I55" i="3"/>
  <c r="H55" i="3"/>
  <c r="G55" i="3"/>
  <c r="P55" i="3" s="1"/>
  <c r="F55" i="3"/>
  <c r="O55" i="3" s="1"/>
  <c r="M54" i="3"/>
  <c r="L54" i="3"/>
  <c r="R54" i="3" s="1"/>
  <c r="K54" i="3"/>
  <c r="J54" i="3"/>
  <c r="Q54" i="3" s="1"/>
  <c r="I54" i="3"/>
  <c r="H54" i="3"/>
  <c r="G54" i="3"/>
  <c r="P54" i="3" s="1"/>
  <c r="F54" i="3"/>
  <c r="O54" i="3" s="1"/>
  <c r="M53" i="3"/>
  <c r="L53" i="3"/>
  <c r="R53" i="3" s="1"/>
  <c r="K53" i="3"/>
  <c r="J53" i="3"/>
  <c r="Q53" i="3" s="1"/>
  <c r="I53" i="3"/>
  <c r="H53" i="3"/>
  <c r="G53" i="3"/>
  <c r="P53" i="3" s="1"/>
  <c r="F53" i="3"/>
  <c r="O53" i="3" s="1"/>
  <c r="O52" i="3"/>
  <c r="M52" i="3"/>
  <c r="L52" i="3"/>
  <c r="R52" i="3" s="1"/>
  <c r="K52" i="3"/>
  <c r="J52" i="3"/>
  <c r="Q52" i="3" s="1"/>
  <c r="I52" i="3"/>
  <c r="H52" i="3"/>
  <c r="G52" i="3"/>
  <c r="P52" i="3" s="1"/>
  <c r="F52" i="3"/>
  <c r="M51" i="3"/>
  <c r="L51" i="3"/>
  <c r="R51" i="3" s="1"/>
  <c r="K51" i="3"/>
  <c r="J51" i="3"/>
  <c r="Q51" i="3" s="1"/>
  <c r="I51" i="3"/>
  <c r="H51" i="3"/>
  <c r="G51" i="3"/>
  <c r="P51" i="3" s="1"/>
  <c r="F51" i="3"/>
  <c r="O51" i="3" s="1"/>
  <c r="M50" i="3"/>
  <c r="L50" i="3"/>
  <c r="R50" i="3" s="1"/>
  <c r="K50" i="3"/>
  <c r="J50" i="3"/>
  <c r="Q50" i="3" s="1"/>
  <c r="I50" i="3"/>
  <c r="H50" i="3"/>
  <c r="G50" i="3"/>
  <c r="P50" i="3" s="1"/>
  <c r="F50" i="3"/>
  <c r="O50" i="3" s="1"/>
  <c r="M49" i="3"/>
  <c r="L49" i="3"/>
  <c r="R49" i="3" s="1"/>
  <c r="K49" i="3"/>
  <c r="J49" i="3"/>
  <c r="Q49" i="3" s="1"/>
  <c r="I49" i="3"/>
  <c r="H49" i="3"/>
  <c r="G49" i="3"/>
  <c r="P49" i="3" s="1"/>
  <c r="F49" i="3"/>
  <c r="O49" i="3" s="1"/>
  <c r="O48" i="3"/>
  <c r="M48" i="3"/>
  <c r="L48" i="3"/>
  <c r="R48" i="3" s="1"/>
  <c r="K48" i="3"/>
  <c r="J48" i="3"/>
  <c r="Q48" i="3" s="1"/>
  <c r="I48" i="3"/>
  <c r="H48" i="3"/>
  <c r="G48" i="3"/>
  <c r="P48" i="3" s="1"/>
  <c r="F48" i="3"/>
  <c r="M47" i="3"/>
  <c r="L47" i="3"/>
  <c r="R47" i="3" s="1"/>
  <c r="K47" i="3"/>
  <c r="J47" i="3"/>
  <c r="Q47" i="3" s="1"/>
  <c r="I47" i="3"/>
  <c r="H47" i="3"/>
  <c r="G47" i="3"/>
  <c r="P47" i="3" s="1"/>
  <c r="F47" i="3"/>
  <c r="O47" i="3" s="1"/>
  <c r="O46" i="3"/>
  <c r="M46" i="3"/>
  <c r="L46" i="3"/>
  <c r="R46" i="3" s="1"/>
  <c r="K46" i="3"/>
  <c r="J46" i="3"/>
  <c r="Q46" i="3" s="1"/>
  <c r="I46" i="3"/>
  <c r="H46" i="3"/>
  <c r="G46" i="3"/>
  <c r="P46" i="3" s="1"/>
  <c r="F46" i="3"/>
  <c r="M45" i="3"/>
  <c r="L45" i="3"/>
  <c r="R45" i="3" s="1"/>
  <c r="K45" i="3"/>
  <c r="J45" i="3"/>
  <c r="Q45" i="3" s="1"/>
  <c r="I45" i="3"/>
  <c r="H45" i="3"/>
  <c r="G45" i="3"/>
  <c r="P45" i="3" s="1"/>
  <c r="F45" i="3"/>
  <c r="O45" i="3" s="1"/>
  <c r="M44" i="3"/>
  <c r="L44" i="3"/>
  <c r="R44" i="3" s="1"/>
  <c r="K44" i="3"/>
  <c r="J44" i="3"/>
  <c r="Q44" i="3" s="1"/>
  <c r="I44" i="3"/>
  <c r="H44" i="3"/>
  <c r="G44" i="3"/>
  <c r="P44" i="3" s="1"/>
  <c r="F44" i="3"/>
  <c r="O44" i="3" s="1"/>
  <c r="Q43" i="3"/>
  <c r="P43" i="3"/>
  <c r="O43" i="3"/>
  <c r="L43" i="3"/>
  <c r="R43" i="3" s="1"/>
  <c r="M40" i="3"/>
  <c r="L40" i="3"/>
  <c r="K40" i="3"/>
  <c r="J40" i="3"/>
  <c r="I40" i="3"/>
  <c r="R40" i="3" s="1"/>
  <c r="H40" i="3"/>
  <c r="Q40" i="3" s="1"/>
  <c r="G40" i="3"/>
  <c r="P40" i="3" s="1"/>
  <c r="F40" i="3"/>
  <c r="O40" i="3" s="1"/>
  <c r="R39" i="3"/>
  <c r="M39" i="3"/>
  <c r="L39" i="3"/>
  <c r="K39" i="3"/>
  <c r="Q39" i="3" s="1"/>
  <c r="J39" i="3"/>
  <c r="I39" i="3"/>
  <c r="H39" i="3"/>
  <c r="G39" i="3"/>
  <c r="P39" i="3" s="1"/>
  <c r="F39" i="3"/>
  <c r="O39" i="3" s="1"/>
  <c r="M38" i="3"/>
  <c r="L38" i="3"/>
  <c r="R38" i="3" s="1"/>
  <c r="K38" i="3"/>
  <c r="Q38" i="3" s="1"/>
  <c r="J38" i="3"/>
  <c r="I38" i="3"/>
  <c r="H38" i="3"/>
  <c r="G38" i="3"/>
  <c r="P38" i="3" s="1"/>
  <c r="F38" i="3"/>
  <c r="O38" i="3" s="1"/>
  <c r="R37" i="3"/>
  <c r="M37" i="3"/>
  <c r="L37" i="3"/>
  <c r="K37" i="3"/>
  <c r="Q37" i="3" s="1"/>
  <c r="J37" i="3"/>
  <c r="I37" i="3"/>
  <c r="H37" i="3"/>
  <c r="G37" i="3"/>
  <c r="P37" i="3" s="1"/>
  <c r="F37" i="3"/>
  <c r="O37" i="3" s="1"/>
  <c r="M36" i="3"/>
  <c r="L36" i="3"/>
  <c r="R36" i="3" s="1"/>
  <c r="K36" i="3"/>
  <c r="Q36" i="3" s="1"/>
  <c r="J36" i="3"/>
  <c r="I36" i="3"/>
  <c r="H36" i="3"/>
  <c r="G36" i="3"/>
  <c r="P36" i="3" s="1"/>
  <c r="F36" i="3"/>
  <c r="O36" i="3" s="1"/>
  <c r="R35" i="3"/>
  <c r="M35" i="3"/>
  <c r="L35" i="3"/>
  <c r="K35" i="3"/>
  <c r="Q35" i="3" s="1"/>
  <c r="J35" i="3"/>
  <c r="I35" i="3"/>
  <c r="H35" i="3"/>
  <c r="G35" i="3"/>
  <c r="P35" i="3" s="1"/>
  <c r="F35" i="3"/>
  <c r="O35" i="3" s="1"/>
  <c r="M34" i="3"/>
  <c r="L34" i="3"/>
  <c r="R34" i="3" s="1"/>
  <c r="K34" i="3"/>
  <c r="Q34" i="3" s="1"/>
  <c r="J34" i="3"/>
  <c r="I34" i="3"/>
  <c r="H34" i="3"/>
  <c r="G34" i="3"/>
  <c r="P34" i="3" s="1"/>
  <c r="F34" i="3"/>
  <c r="O34" i="3" s="1"/>
  <c r="R33" i="3"/>
  <c r="M33" i="3"/>
  <c r="L33" i="3"/>
  <c r="K33" i="3"/>
  <c r="Q33" i="3" s="1"/>
  <c r="J33" i="3"/>
  <c r="I33" i="3"/>
  <c r="H33" i="3"/>
  <c r="G33" i="3"/>
  <c r="P33" i="3" s="1"/>
  <c r="F33" i="3"/>
  <c r="O33" i="3" s="1"/>
  <c r="Q32" i="3"/>
  <c r="M32" i="3"/>
  <c r="L32" i="3"/>
  <c r="R32" i="3" s="1"/>
  <c r="K32" i="3"/>
  <c r="J32" i="3"/>
  <c r="I32" i="3"/>
  <c r="H32" i="3"/>
  <c r="G32" i="3"/>
  <c r="P32" i="3" s="1"/>
  <c r="F32" i="3"/>
  <c r="O32" i="3" s="1"/>
  <c r="M31" i="3"/>
  <c r="L31" i="3"/>
  <c r="R31" i="3" s="1"/>
  <c r="K31" i="3"/>
  <c r="J31" i="3"/>
  <c r="Q31" i="3" s="1"/>
  <c r="I31" i="3"/>
  <c r="H31" i="3"/>
  <c r="G31" i="3"/>
  <c r="P31" i="3" s="1"/>
  <c r="F31" i="3"/>
  <c r="O31" i="3" s="1"/>
  <c r="B31" i="3"/>
  <c r="B32" i="3" s="1"/>
  <c r="B33" i="3" s="1"/>
  <c r="M30" i="3"/>
  <c r="L30" i="3"/>
  <c r="R30" i="3" s="1"/>
  <c r="K30" i="3"/>
  <c r="J30" i="3"/>
  <c r="Q30" i="3" s="1"/>
  <c r="I30" i="3"/>
  <c r="H30" i="3"/>
  <c r="G30" i="3"/>
  <c r="P30" i="3" s="1"/>
  <c r="F30" i="3"/>
  <c r="O30" i="3" s="1"/>
  <c r="B30" i="3"/>
  <c r="M29" i="3"/>
  <c r="L29" i="3"/>
  <c r="R29" i="3" s="1"/>
  <c r="K29" i="3"/>
  <c r="J29" i="3"/>
  <c r="Q29" i="3" s="1"/>
  <c r="I29" i="3"/>
  <c r="H29" i="3"/>
  <c r="G29" i="3"/>
  <c r="P29" i="3" s="1"/>
  <c r="F29" i="3"/>
  <c r="O29" i="3" s="1"/>
  <c r="R28" i="3"/>
  <c r="M28" i="3"/>
  <c r="L28" i="3"/>
  <c r="K28" i="3"/>
  <c r="Q28" i="3" s="1"/>
  <c r="J28" i="3"/>
  <c r="I28" i="3"/>
  <c r="H28" i="3"/>
  <c r="G28" i="3"/>
  <c r="P28" i="3" s="1"/>
  <c r="F28" i="3"/>
  <c r="O28" i="3" s="1"/>
  <c r="M27" i="3"/>
  <c r="L27" i="3"/>
  <c r="R27" i="3" s="1"/>
  <c r="K27" i="3"/>
  <c r="J27" i="3"/>
  <c r="Q27" i="3" s="1"/>
  <c r="I27" i="3"/>
  <c r="H27" i="3"/>
  <c r="G27" i="3"/>
  <c r="P27" i="3" s="1"/>
  <c r="F27" i="3"/>
  <c r="O27" i="3" s="1"/>
  <c r="B27" i="3"/>
  <c r="M26" i="3"/>
  <c r="L26" i="3"/>
  <c r="R26" i="3" s="1"/>
  <c r="K26" i="3"/>
  <c r="J26" i="3"/>
  <c r="Q26" i="3" s="1"/>
  <c r="I26" i="3"/>
  <c r="H26" i="3"/>
  <c r="G26" i="3"/>
  <c r="P26" i="3" s="1"/>
  <c r="F26" i="3"/>
  <c r="O26" i="3" s="1"/>
  <c r="Q25" i="3"/>
  <c r="M25" i="3"/>
  <c r="L25" i="3"/>
  <c r="R25" i="3" s="1"/>
  <c r="K25" i="3"/>
  <c r="J25" i="3"/>
  <c r="I25" i="3"/>
  <c r="H25" i="3"/>
  <c r="G25" i="3"/>
  <c r="P25" i="3" s="1"/>
  <c r="F25" i="3"/>
  <c r="O25" i="3" s="1"/>
  <c r="M24" i="3"/>
  <c r="L24" i="3"/>
  <c r="R24" i="3" s="1"/>
  <c r="K24" i="3"/>
  <c r="J24" i="3"/>
  <c r="Q24" i="3" s="1"/>
  <c r="I24" i="3"/>
  <c r="H24" i="3"/>
  <c r="G24" i="3"/>
  <c r="P24" i="3" s="1"/>
  <c r="F24" i="3"/>
  <c r="O24" i="3" s="1"/>
  <c r="B24" i="3"/>
  <c r="R23" i="3"/>
  <c r="Q23" i="3"/>
  <c r="P23" i="3"/>
  <c r="O23" i="3"/>
  <c r="L23" i="3"/>
  <c r="R20" i="3"/>
  <c r="Q20" i="3"/>
  <c r="P20" i="3"/>
  <c r="O20" i="3"/>
  <c r="R19" i="3"/>
  <c r="Q19" i="3"/>
  <c r="P19" i="3"/>
  <c r="O19" i="3"/>
  <c r="C19" i="3"/>
  <c r="D19" i="3" s="1"/>
  <c r="R18" i="3"/>
  <c r="Q18" i="3"/>
  <c r="P18" i="3"/>
  <c r="O18" i="3"/>
  <c r="D18" i="3"/>
  <c r="R17" i="3"/>
  <c r="Q17" i="3"/>
  <c r="P17" i="3"/>
  <c r="O17" i="3"/>
  <c r="D17" i="3"/>
  <c r="C17" i="3"/>
  <c r="R16" i="3"/>
  <c r="Q16" i="3"/>
  <c r="P16" i="3"/>
  <c r="O16" i="3"/>
  <c r="D16" i="3"/>
  <c r="R15" i="3"/>
  <c r="Q15" i="3"/>
  <c r="P15" i="3"/>
  <c r="O15" i="3"/>
  <c r="D15" i="3"/>
  <c r="C15" i="3"/>
  <c r="R14" i="3"/>
  <c r="Q14" i="3"/>
  <c r="P14" i="3"/>
  <c r="O14" i="3"/>
  <c r="D14" i="3"/>
  <c r="R13" i="3"/>
  <c r="Q13" i="3"/>
  <c r="P13" i="3"/>
  <c r="O13" i="3"/>
  <c r="C13" i="3"/>
  <c r="D13" i="3" s="1"/>
  <c r="R12" i="3"/>
  <c r="Q12" i="3"/>
  <c r="P12" i="3"/>
  <c r="O12" i="3"/>
  <c r="C12" i="3"/>
  <c r="D12" i="3" s="1"/>
  <c r="R11" i="3"/>
  <c r="Q11" i="3"/>
  <c r="P11" i="3"/>
  <c r="O11" i="3"/>
  <c r="D11" i="3"/>
  <c r="C11" i="3"/>
  <c r="R10" i="3"/>
  <c r="Q10" i="3"/>
  <c r="P10" i="3"/>
  <c r="O10" i="3"/>
  <c r="D10" i="3"/>
  <c r="R9" i="3"/>
  <c r="Q9" i="3"/>
  <c r="P9" i="3"/>
  <c r="O9" i="3"/>
  <c r="C9" i="3"/>
  <c r="D9" i="3" s="1"/>
  <c r="R8" i="3"/>
  <c r="Q8" i="3"/>
  <c r="P8" i="3"/>
  <c r="O8" i="3"/>
  <c r="D8" i="3"/>
  <c r="C8" i="3"/>
  <c r="R7" i="3"/>
  <c r="Q7" i="3"/>
  <c r="P7" i="3"/>
  <c r="O7" i="3"/>
  <c r="D7" i="3"/>
  <c r="R6" i="3"/>
  <c r="Q6" i="3"/>
  <c r="P6" i="3"/>
  <c r="O6" i="3"/>
  <c r="C6" i="3"/>
  <c r="D6" i="3" s="1"/>
  <c r="R5" i="3"/>
  <c r="Q5" i="3"/>
  <c r="P5" i="3"/>
  <c r="O5" i="3"/>
  <c r="C5" i="3"/>
  <c r="D5" i="3" s="1"/>
  <c r="R4" i="3"/>
  <c r="Q4" i="3"/>
  <c r="P4" i="3"/>
  <c r="O4" i="3"/>
  <c r="D4" i="3"/>
  <c r="C4" i="3"/>
  <c r="R3" i="3"/>
  <c r="D3" i="3"/>
  <c r="P62" i="9" l="1"/>
  <c r="R62" i="9" s="1"/>
  <c r="V62" i="9" s="1"/>
  <c r="E46" i="9"/>
  <c r="E78" i="9"/>
  <c r="G78" i="9" s="1"/>
  <c r="J78" i="9" s="1"/>
  <c r="D78" i="9"/>
  <c r="F78" i="9" s="1"/>
  <c r="I78" i="9" s="1"/>
  <c r="P46" i="9"/>
  <c r="R46" i="9" s="1"/>
  <c r="V46" i="9" s="1"/>
  <c r="O46" i="9"/>
  <c r="Q46" i="9" s="1"/>
  <c r="P54" i="9"/>
  <c r="R54" i="9" s="1"/>
  <c r="V54" i="9" s="1"/>
  <c r="O54" i="9"/>
  <c r="Q54" i="9" s="1"/>
  <c r="T54" i="9" s="1"/>
  <c r="P82" i="9"/>
  <c r="O82" i="9"/>
  <c r="Q82" i="9" s="1"/>
  <c r="T82" i="9" s="1"/>
  <c r="E62" i="9"/>
  <c r="D62" i="9"/>
  <c r="P78" i="9"/>
  <c r="O78" i="9"/>
  <c r="Q78" i="9" s="1"/>
  <c r="T78" i="9" s="1"/>
  <c r="E58" i="9"/>
  <c r="D58" i="9"/>
  <c r="P58" i="9"/>
  <c r="R58" i="9" s="1"/>
  <c r="V58" i="9" s="1"/>
  <c r="O58" i="9"/>
  <c r="E50" i="9"/>
  <c r="D50" i="9"/>
  <c r="E74" i="9"/>
  <c r="G74" i="9" s="1"/>
  <c r="J74" i="9" s="1"/>
  <c r="D74" i="9"/>
  <c r="F74" i="9" s="1"/>
  <c r="I74" i="9" s="1"/>
  <c r="P70" i="9"/>
  <c r="O70" i="9"/>
  <c r="Q70" i="9" s="1"/>
  <c r="T70" i="9" s="1"/>
  <c r="E82" i="9"/>
  <c r="G82" i="9" s="1"/>
  <c r="J82" i="9" s="1"/>
  <c r="D82" i="9"/>
  <c r="F82" i="9" s="1"/>
  <c r="I82" i="9" s="1"/>
  <c r="P50" i="9"/>
  <c r="R50" i="9" s="1"/>
  <c r="V50" i="9" s="1"/>
  <c r="O50" i="9"/>
  <c r="Q50" i="9" s="1"/>
  <c r="T50" i="9" s="1"/>
  <c r="O62" i="9"/>
  <c r="E54" i="9"/>
  <c r="D54" i="9"/>
  <c r="E70" i="9"/>
  <c r="G70" i="9" s="1"/>
  <c r="J70" i="9" s="1"/>
  <c r="D70" i="9"/>
  <c r="F70" i="9" s="1"/>
  <c r="I70" i="9" s="1"/>
  <c r="P74" i="9"/>
  <c r="O74" i="9"/>
  <c r="Q74" i="9" s="1"/>
  <c r="T74" i="9" s="1"/>
  <c r="E20" i="9"/>
  <c r="B38" i="9"/>
  <c r="P39" i="8"/>
  <c r="E82" i="7"/>
  <c r="G82" i="7" s="1"/>
  <c r="J82" i="7" s="1"/>
  <c r="D82" i="7"/>
  <c r="F82" i="7" s="1"/>
  <c r="I82" i="7" s="1"/>
  <c r="P50" i="7"/>
  <c r="R50" i="7" s="1"/>
  <c r="U50" i="7" s="1"/>
  <c r="O50" i="7"/>
  <c r="Q50" i="7" s="1"/>
  <c r="T50" i="7" s="1"/>
  <c r="P82" i="7"/>
  <c r="O82" i="7"/>
  <c r="Q82" i="7" s="1"/>
  <c r="T82" i="7" s="1"/>
  <c r="E47" i="7"/>
  <c r="G47" i="7" s="1"/>
  <c r="J47" i="7" s="1"/>
  <c r="D47" i="7"/>
  <c r="F47" i="7" s="1"/>
  <c r="I47" i="7" s="1"/>
  <c r="E51" i="7"/>
  <c r="G51" i="7" s="1"/>
  <c r="J51" i="7" s="1"/>
  <c r="D51" i="7"/>
  <c r="F51" i="7" s="1"/>
  <c r="I51" i="7" s="1"/>
  <c r="E55" i="7"/>
  <c r="G55" i="7" s="1"/>
  <c r="J55" i="7" s="1"/>
  <c r="D55" i="7"/>
  <c r="F55" i="7" s="1"/>
  <c r="I55" i="7" s="1"/>
  <c r="E59" i="7"/>
  <c r="G59" i="7" s="1"/>
  <c r="J59" i="7" s="1"/>
  <c r="D59" i="7"/>
  <c r="F59" i="7" s="1"/>
  <c r="I59" i="7" s="1"/>
  <c r="E63" i="7"/>
  <c r="G63" i="7" s="1"/>
  <c r="J63" i="7" s="1"/>
  <c r="D63" i="7"/>
  <c r="F63" i="7" s="1"/>
  <c r="I63" i="7" s="1"/>
  <c r="E71" i="7"/>
  <c r="G71" i="7" s="1"/>
  <c r="J71" i="7" s="1"/>
  <c r="D71" i="7"/>
  <c r="F71" i="7" s="1"/>
  <c r="I71" i="7" s="1"/>
  <c r="E75" i="7"/>
  <c r="G75" i="7" s="1"/>
  <c r="J75" i="7" s="1"/>
  <c r="D75" i="7"/>
  <c r="F75" i="7" s="1"/>
  <c r="I75" i="7" s="1"/>
  <c r="E79" i="7"/>
  <c r="G79" i="7" s="1"/>
  <c r="J79" i="7" s="1"/>
  <c r="D79" i="7"/>
  <c r="F79" i="7" s="1"/>
  <c r="I79" i="7" s="1"/>
  <c r="E50" i="7"/>
  <c r="G50" i="7" s="1"/>
  <c r="J50" i="7" s="1"/>
  <c r="D50" i="7"/>
  <c r="F50" i="7" s="1"/>
  <c r="I50" i="7" s="1"/>
  <c r="E74" i="7"/>
  <c r="G74" i="7" s="1"/>
  <c r="J74" i="7" s="1"/>
  <c r="D74" i="7"/>
  <c r="F74" i="7" s="1"/>
  <c r="I74" i="7" s="1"/>
  <c r="P78" i="7"/>
  <c r="O78" i="7"/>
  <c r="Q78" i="7" s="1"/>
  <c r="T78" i="7" s="1"/>
  <c r="E58" i="7"/>
  <c r="G58" i="7" s="1"/>
  <c r="J58" i="7" s="1"/>
  <c r="D58" i="7"/>
  <c r="F58" i="7" s="1"/>
  <c r="I58" i="7" s="1"/>
  <c r="P58" i="7"/>
  <c r="R58" i="7" s="1"/>
  <c r="U58" i="7" s="1"/>
  <c r="O58" i="7"/>
  <c r="Q58" i="7" s="1"/>
  <c r="T58" i="7" s="1"/>
  <c r="E48" i="7"/>
  <c r="G48" i="7" s="1"/>
  <c r="J48" i="7" s="1"/>
  <c r="D48" i="7"/>
  <c r="F48" i="7" s="1"/>
  <c r="I48" i="7" s="1"/>
  <c r="E52" i="7"/>
  <c r="G52" i="7" s="1"/>
  <c r="J52" i="7" s="1"/>
  <c r="D52" i="7"/>
  <c r="F52" i="7" s="1"/>
  <c r="I52" i="7" s="1"/>
  <c r="E56" i="7"/>
  <c r="G56" i="7" s="1"/>
  <c r="J56" i="7" s="1"/>
  <c r="D56" i="7"/>
  <c r="F56" i="7" s="1"/>
  <c r="I56" i="7" s="1"/>
  <c r="E60" i="7"/>
  <c r="G60" i="7" s="1"/>
  <c r="J60" i="7" s="1"/>
  <c r="D60" i="7"/>
  <c r="F60" i="7" s="1"/>
  <c r="I60" i="7" s="1"/>
  <c r="E68" i="7"/>
  <c r="G68" i="7" s="1"/>
  <c r="J68" i="7" s="1"/>
  <c r="D68" i="7"/>
  <c r="F68" i="7" s="1"/>
  <c r="I68" i="7" s="1"/>
  <c r="E62" i="7"/>
  <c r="G62" i="7" s="1"/>
  <c r="J62" i="7" s="1"/>
  <c r="D62" i="7"/>
  <c r="F62" i="7" s="1"/>
  <c r="I62" i="7" s="1"/>
  <c r="P70" i="7"/>
  <c r="O70" i="7"/>
  <c r="Q70" i="7" s="1"/>
  <c r="T70" i="7" s="1"/>
  <c r="P48" i="7"/>
  <c r="R48" i="7" s="1"/>
  <c r="U48" i="7" s="1"/>
  <c r="O48" i="7"/>
  <c r="Q48" i="7" s="1"/>
  <c r="T48" i="7" s="1"/>
  <c r="P52" i="7"/>
  <c r="R52" i="7" s="1"/>
  <c r="U52" i="7" s="1"/>
  <c r="O52" i="7"/>
  <c r="Q52" i="7" s="1"/>
  <c r="T52" i="7" s="1"/>
  <c r="E46" i="7"/>
  <c r="G46" i="7" s="1"/>
  <c r="J46" i="7" s="1"/>
  <c r="D46" i="7"/>
  <c r="F46" i="7" s="1"/>
  <c r="I46" i="7" s="1"/>
  <c r="E78" i="7"/>
  <c r="G78" i="7" s="1"/>
  <c r="J78" i="7" s="1"/>
  <c r="D78" i="7"/>
  <c r="F78" i="7" s="1"/>
  <c r="I78" i="7" s="1"/>
  <c r="P46" i="7"/>
  <c r="R46" i="7" s="1"/>
  <c r="U46" i="7" s="1"/>
  <c r="O46" i="7"/>
  <c r="Q46" i="7" s="1"/>
  <c r="T46" i="7" s="1"/>
  <c r="P74" i="7"/>
  <c r="R74" i="7" s="1"/>
  <c r="U74" i="7" s="1"/>
  <c r="O74" i="7"/>
  <c r="Q74" i="7" s="1"/>
  <c r="T74" i="7" s="1"/>
  <c r="E49" i="7"/>
  <c r="G49" i="7" s="1"/>
  <c r="J49" i="7" s="1"/>
  <c r="D49" i="7"/>
  <c r="F49" i="7" s="1"/>
  <c r="I49" i="7" s="1"/>
  <c r="E54" i="7"/>
  <c r="G54" i="7" s="1"/>
  <c r="J54" i="7" s="1"/>
  <c r="D54" i="7"/>
  <c r="F54" i="7" s="1"/>
  <c r="I54" i="7" s="1"/>
  <c r="E70" i="7"/>
  <c r="G70" i="7" s="1"/>
  <c r="J70" i="7" s="1"/>
  <c r="D70" i="7"/>
  <c r="F70" i="7" s="1"/>
  <c r="I70" i="7" s="1"/>
  <c r="P54" i="7"/>
  <c r="R54" i="7" s="1"/>
  <c r="U54" i="7" s="1"/>
  <c r="O54" i="7"/>
  <c r="Q54" i="7" s="1"/>
  <c r="T54" i="7" s="1"/>
  <c r="P62" i="7"/>
  <c r="R62" i="7" s="1"/>
  <c r="U62" i="7" s="1"/>
  <c r="O62" i="7"/>
  <c r="Q62" i="7" s="1"/>
  <c r="T62" i="7" s="1"/>
  <c r="E20" i="7"/>
  <c r="B38" i="7"/>
  <c r="B43" i="6"/>
  <c r="B44" i="6" s="1"/>
  <c r="C44" i="6" s="1"/>
  <c r="B41" i="6"/>
  <c r="J46" i="5"/>
  <c r="I46" i="5"/>
  <c r="E50" i="5"/>
  <c r="J50" i="5" s="1"/>
  <c r="D50" i="5"/>
  <c r="I50" i="5" s="1"/>
  <c r="E54" i="5"/>
  <c r="J54" i="5" s="1"/>
  <c r="D54" i="5"/>
  <c r="I54" i="5" s="1"/>
  <c r="E58" i="5"/>
  <c r="J58" i="5" s="1"/>
  <c r="D58" i="5"/>
  <c r="I58" i="5" s="1"/>
  <c r="E62" i="5"/>
  <c r="J62" i="5" s="1"/>
  <c r="D62" i="5"/>
  <c r="I62" i="5" s="1"/>
  <c r="E70" i="5"/>
  <c r="G70" i="5" s="1"/>
  <c r="J70" i="5" s="1"/>
  <c r="D70" i="5"/>
  <c r="F70" i="5" s="1"/>
  <c r="I70" i="5" s="1"/>
  <c r="E74" i="5"/>
  <c r="G74" i="5" s="1"/>
  <c r="J74" i="5" s="1"/>
  <c r="D74" i="5"/>
  <c r="F74" i="5" s="1"/>
  <c r="I74" i="5" s="1"/>
  <c r="E78" i="5"/>
  <c r="G78" i="5" s="1"/>
  <c r="J78" i="5" s="1"/>
  <c r="D78" i="5"/>
  <c r="F78" i="5" s="1"/>
  <c r="I78" i="5" s="1"/>
  <c r="E82" i="5"/>
  <c r="G82" i="5" s="1"/>
  <c r="J82" i="5" s="1"/>
  <c r="D82" i="5"/>
  <c r="F82" i="5" s="1"/>
  <c r="I82" i="5" s="1"/>
  <c r="P46" i="5"/>
  <c r="U46" i="5" s="1"/>
  <c r="P50" i="5"/>
  <c r="U50" i="5" s="1"/>
  <c r="O50" i="5"/>
  <c r="T50" i="5" s="1"/>
  <c r="P54" i="5"/>
  <c r="U54" i="5" s="1"/>
  <c r="O54" i="5"/>
  <c r="T54" i="5" s="1"/>
  <c r="P58" i="5"/>
  <c r="U58" i="5" s="1"/>
  <c r="O58" i="5"/>
  <c r="P62" i="5"/>
  <c r="U62" i="5" s="1"/>
  <c r="O62" i="5"/>
  <c r="P70" i="5"/>
  <c r="O70" i="5"/>
  <c r="Q70" i="5" s="1"/>
  <c r="T70" i="5" s="1"/>
  <c r="P74" i="5"/>
  <c r="O74" i="5"/>
  <c r="Q74" i="5" s="1"/>
  <c r="T74" i="5" s="1"/>
  <c r="P78" i="5"/>
  <c r="O78" i="5"/>
  <c r="Q78" i="5" s="1"/>
  <c r="T78" i="5" s="1"/>
  <c r="P82" i="5"/>
  <c r="O82" i="5"/>
  <c r="Q82" i="5" s="1"/>
  <c r="T82" i="5" s="1"/>
  <c r="E71" i="5"/>
  <c r="G71" i="5" s="1"/>
  <c r="J71" i="5" s="1"/>
  <c r="D71" i="5"/>
  <c r="F71" i="5" s="1"/>
  <c r="I71" i="5" s="1"/>
  <c r="P47" i="5"/>
  <c r="U47" i="5" s="1"/>
  <c r="O47" i="5"/>
  <c r="T47" i="5" s="1"/>
  <c r="P51" i="5"/>
  <c r="U51" i="5" s="1"/>
  <c r="O51" i="5"/>
  <c r="P55" i="5"/>
  <c r="U55" i="5" s="1"/>
  <c r="O55" i="5"/>
  <c r="P59" i="5"/>
  <c r="U59" i="5" s="1"/>
  <c r="O59" i="5"/>
  <c r="T59" i="5" s="1"/>
  <c r="P63" i="5"/>
  <c r="U63" i="5" s="1"/>
  <c r="O63" i="5"/>
  <c r="T63" i="5" s="1"/>
  <c r="P71" i="5"/>
  <c r="O71" i="5"/>
  <c r="Q71" i="5" s="1"/>
  <c r="T71" i="5" s="1"/>
  <c r="P75" i="5"/>
  <c r="O75" i="5"/>
  <c r="Q75" i="5" s="1"/>
  <c r="T75" i="5" s="1"/>
  <c r="P79" i="5"/>
  <c r="O79" i="5"/>
  <c r="Q79" i="5" s="1"/>
  <c r="T79" i="5" s="1"/>
  <c r="P83" i="5"/>
  <c r="O83" i="5"/>
  <c r="Q83" i="5" s="1"/>
  <c r="T83" i="5" s="1"/>
  <c r="E79" i="5"/>
  <c r="G79" i="5" s="1"/>
  <c r="J79" i="5" s="1"/>
  <c r="D79" i="5"/>
  <c r="F79" i="5" s="1"/>
  <c r="I79" i="5" s="1"/>
  <c r="E48" i="5"/>
  <c r="J48" i="5" s="1"/>
  <c r="D48" i="5"/>
  <c r="I48" i="5" s="1"/>
  <c r="E52" i="5"/>
  <c r="J52" i="5" s="1"/>
  <c r="D52" i="5"/>
  <c r="I52" i="5" s="1"/>
  <c r="E56" i="5"/>
  <c r="J56" i="5" s="1"/>
  <c r="D56" i="5"/>
  <c r="I56" i="5" s="1"/>
  <c r="E60" i="5"/>
  <c r="J60" i="5" s="1"/>
  <c r="D60" i="5"/>
  <c r="I60" i="5" s="1"/>
  <c r="E68" i="5"/>
  <c r="G68" i="5" s="1"/>
  <c r="J68" i="5" s="1"/>
  <c r="D68" i="5"/>
  <c r="F68" i="5" s="1"/>
  <c r="I68" i="5" s="1"/>
  <c r="E72" i="5"/>
  <c r="G72" i="5" s="1"/>
  <c r="J72" i="5" s="1"/>
  <c r="D72" i="5"/>
  <c r="F72" i="5" s="1"/>
  <c r="I72" i="5" s="1"/>
  <c r="E76" i="5"/>
  <c r="G76" i="5" s="1"/>
  <c r="J76" i="5" s="1"/>
  <c r="D76" i="5"/>
  <c r="F76" i="5" s="1"/>
  <c r="I76" i="5" s="1"/>
  <c r="E80" i="5"/>
  <c r="G80" i="5" s="1"/>
  <c r="J80" i="5" s="1"/>
  <c r="D80" i="5"/>
  <c r="F80" i="5" s="1"/>
  <c r="I80" i="5" s="1"/>
  <c r="E75" i="5"/>
  <c r="G75" i="5" s="1"/>
  <c r="J75" i="5" s="1"/>
  <c r="D75" i="5"/>
  <c r="F75" i="5" s="1"/>
  <c r="I75" i="5" s="1"/>
  <c r="P48" i="5"/>
  <c r="U48" i="5" s="1"/>
  <c r="O48" i="5"/>
  <c r="T48" i="5" s="1"/>
  <c r="P52" i="5"/>
  <c r="U52" i="5" s="1"/>
  <c r="O52" i="5"/>
  <c r="P56" i="5"/>
  <c r="U56" i="5" s="1"/>
  <c r="O56" i="5"/>
  <c r="P60" i="5"/>
  <c r="U60" i="5" s="1"/>
  <c r="O60" i="5"/>
  <c r="T60" i="5" s="1"/>
  <c r="P68" i="5"/>
  <c r="O68" i="5"/>
  <c r="Q68" i="5" s="1"/>
  <c r="T68" i="5" s="1"/>
  <c r="P72" i="5"/>
  <c r="O72" i="5"/>
  <c r="Q72" i="5" s="1"/>
  <c r="T72" i="5" s="1"/>
  <c r="P76" i="5"/>
  <c r="O76" i="5"/>
  <c r="Q76" i="5" s="1"/>
  <c r="T76" i="5" s="1"/>
  <c r="E47" i="5"/>
  <c r="J47" i="5" s="1"/>
  <c r="D47" i="5"/>
  <c r="I47" i="5" s="1"/>
  <c r="E51" i="5"/>
  <c r="J51" i="5" s="1"/>
  <c r="D51" i="5"/>
  <c r="I51" i="5" s="1"/>
  <c r="E55" i="5"/>
  <c r="J55" i="5" s="1"/>
  <c r="D55" i="5"/>
  <c r="I55" i="5" s="1"/>
  <c r="E59" i="5"/>
  <c r="J59" i="5" s="1"/>
  <c r="D59" i="5"/>
  <c r="I59" i="5" s="1"/>
  <c r="E83" i="5"/>
  <c r="G83" i="5" s="1"/>
  <c r="J83" i="5" s="1"/>
  <c r="D83" i="5"/>
  <c r="F83" i="5" s="1"/>
  <c r="I83" i="5" s="1"/>
  <c r="E63" i="5"/>
  <c r="J63" i="5" s="1"/>
  <c r="D63" i="5"/>
  <c r="F63" i="5" s="1"/>
  <c r="I63" i="5" s="1"/>
  <c r="P49" i="5"/>
  <c r="U49" i="5" s="1"/>
  <c r="O49" i="5"/>
  <c r="T49" i="5" s="1"/>
  <c r="P53" i="5"/>
  <c r="U53" i="5" s="1"/>
  <c r="O53" i="5"/>
  <c r="P57" i="5"/>
  <c r="U57" i="5" s="1"/>
  <c r="O57" i="5"/>
  <c r="T57" i="5" s="1"/>
  <c r="P61" i="5"/>
  <c r="U61" i="5" s="1"/>
  <c r="O61" i="5"/>
  <c r="P69" i="5"/>
  <c r="O69" i="5"/>
  <c r="Q69" i="5" s="1"/>
  <c r="T69" i="5" s="1"/>
  <c r="P73" i="5"/>
  <c r="O73" i="5"/>
  <c r="Q73" i="5" s="1"/>
  <c r="T73" i="5" s="1"/>
  <c r="P77" i="5"/>
  <c r="O77" i="5"/>
  <c r="Q77" i="5" s="1"/>
  <c r="T77" i="5" s="1"/>
  <c r="P81" i="5"/>
  <c r="O81" i="5"/>
  <c r="Q81" i="5" s="1"/>
  <c r="T81" i="5" s="1"/>
  <c r="P85" i="5"/>
  <c r="O85" i="5"/>
  <c r="Q85" i="5" s="1"/>
  <c r="T85" i="5" s="1"/>
  <c r="E20" i="5"/>
  <c r="B43" i="4"/>
  <c r="B44" i="4" s="1"/>
  <c r="C44" i="4" s="1"/>
  <c r="B34" i="4"/>
  <c r="B41" i="4" s="1"/>
  <c r="P78" i="2"/>
  <c r="O78" i="2"/>
  <c r="P79" i="2"/>
  <c r="O79" i="2"/>
  <c r="P72" i="2"/>
  <c r="O72" i="2"/>
  <c r="P80" i="2"/>
  <c r="O80" i="2"/>
  <c r="P70" i="2"/>
  <c r="O70" i="2"/>
  <c r="P71" i="2"/>
  <c r="O71" i="2"/>
  <c r="P73" i="2"/>
  <c r="O73" i="2"/>
  <c r="P81" i="2"/>
  <c r="O81" i="2"/>
  <c r="P74" i="2"/>
  <c r="O74" i="2"/>
  <c r="P82" i="2"/>
  <c r="O82" i="2"/>
  <c r="P75" i="2"/>
  <c r="O75" i="2"/>
  <c r="P83" i="2"/>
  <c r="O83" i="2"/>
  <c r="P68" i="2"/>
  <c r="O68" i="2"/>
  <c r="P76" i="2"/>
  <c r="O76" i="2"/>
  <c r="P84" i="2"/>
  <c r="O84" i="2"/>
  <c r="P69" i="2"/>
  <c r="O69" i="2"/>
  <c r="P77" i="2"/>
  <c r="O77" i="2"/>
  <c r="P85" i="2"/>
  <c r="O85" i="2"/>
  <c r="F50" i="9" l="1"/>
  <c r="I50" i="9" s="1"/>
  <c r="G58" i="9"/>
  <c r="J58" i="9" s="1"/>
  <c r="F62" i="9"/>
  <c r="I62" i="9" s="1"/>
  <c r="G54" i="9"/>
  <c r="J54" i="9" s="1"/>
  <c r="F54" i="9"/>
  <c r="I54" i="9" s="1"/>
  <c r="G62" i="9"/>
  <c r="J62" i="9" s="1"/>
  <c r="G50" i="9"/>
  <c r="J50" i="9" s="1"/>
  <c r="F58" i="9"/>
  <c r="I58" i="9" s="1"/>
  <c r="G46" i="9"/>
  <c r="J46" i="9" s="1"/>
  <c r="Q62" i="9"/>
  <c r="T62" i="9" s="1"/>
  <c r="I46" i="9"/>
  <c r="T46" i="9"/>
  <c r="Q58" i="9"/>
  <c r="T58" i="9" s="1"/>
  <c r="P73" i="9"/>
  <c r="R73" i="9" s="1"/>
  <c r="V73" i="9" s="1"/>
  <c r="O73" i="9"/>
  <c r="Q73" i="9" s="1"/>
  <c r="T73" i="9" s="1"/>
  <c r="P60" i="9"/>
  <c r="R60" i="9" s="1"/>
  <c r="V60" i="9" s="1"/>
  <c r="O60" i="9"/>
  <c r="Q60" i="9" s="1"/>
  <c r="T60" i="9" s="1"/>
  <c r="E56" i="9"/>
  <c r="D56" i="9"/>
  <c r="P79" i="9"/>
  <c r="R79" i="9" s="1"/>
  <c r="V79" i="9" s="1"/>
  <c r="O79" i="9"/>
  <c r="Q79" i="9" s="1"/>
  <c r="T79" i="9" s="1"/>
  <c r="E63" i="9"/>
  <c r="D63" i="9"/>
  <c r="P69" i="9"/>
  <c r="R69" i="9" s="1"/>
  <c r="V69" i="9" s="1"/>
  <c r="O69" i="9"/>
  <c r="Q69" i="9" s="1"/>
  <c r="T69" i="9" s="1"/>
  <c r="E61" i="9"/>
  <c r="D61" i="9"/>
  <c r="P56" i="9"/>
  <c r="R56" i="9" s="1"/>
  <c r="V56" i="9" s="1"/>
  <c r="O56" i="9"/>
  <c r="Q56" i="9" s="1"/>
  <c r="T56" i="9" s="1"/>
  <c r="E52" i="9"/>
  <c r="D52" i="9"/>
  <c r="P75" i="9"/>
  <c r="R75" i="9" s="1"/>
  <c r="V75" i="9" s="1"/>
  <c r="O75" i="9"/>
  <c r="Q75" i="9" s="1"/>
  <c r="T75" i="9" s="1"/>
  <c r="R78" i="9"/>
  <c r="V78" i="9" s="1"/>
  <c r="E59" i="9"/>
  <c r="D59" i="9"/>
  <c r="E69" i="9"/>
  <c r="G69" i="9" s="1"/>
  <c r="J69" i="9" s="1"/>
  <c r="D69" i="9"/>
  <c r="F69" i="9" s="1"/>
  <c r="I69" i="9" s="1"/>
  <c r="E84" i="9"/>
  <c r="G84" i="9" s="1"/>
  <c r="J84" i="9" s="1"/>
  <c r="D84" i="9"/>
  <c r="F84" i="9" s="1"/>
  <c r="I84" i="9" s="1"/>
  <c r="P57" i="9"/>
  <c r="R57" i="9" s="1"/>
  <c r="V57" i="9" s="1"/>
  <c r="O57" i="9"/>
  <c r="Q57" i="9" s="1"/>
  <c r="T57" i="9" s="1"/>
  <c r="E53" i="9"/>
  <c r="D53" i="9"/>
  <c r="P84" i="9"/>
  <c r="R84" i="9" s="1"/>
  <c r="V84" i="9" s="1"/>
  <c r="O84" i="9"/>
  <c r="Q84" i="9" s="1"/>
  <c r="T84" i="9" s="1"/>
  <c r="P48" i="9"/>
  <c r="R48" i="9" s="1"/>
  <c r="V48" i="9" s="1"/>
  <c r="O48" i="9"/>
  <c r="Q48" i="9" s="1"/>
  <c r="T48" i="9" s="1"/>
  <c r="E80" i="9"/>
  <c r="G80" i="9" s="1"/>
  <c r="J80" i="9" s="1"/>
  <c r="D80" i="9"/>
  <c r="F80" i="9" s="1"/>
  <c r="I80" i="9" s="1"/>
  <c r="P63" i="9"/>
  <c r="R63" i="9" s="1"/>
  <c r="V63" i="9" s="1"/>
  <c r="O63" i="9"/>
  <c r="Q63" i="9" s="1"/>
  <c r="T63" i="9" s="1"/>
  <c r="E51" i="9"/>
  <c r="D51" i="9"/>
  <c r="P53" i="9"/>
  <c r="R53" i="9" s="1"/>
  <c r="V53" i="9" s="1"/>
  <c r="O53" i="9"/>
  <c r="Q53" i="9" s="1"/>
  <c r="T53" i="9" s="1"/>
  <c r="E85" i="9"/>
  <c r="G85" i="9" s="1"/>
  <c r="J85" i="9" s="1"/>
  <c r="D85" i="9"/>
  <c r="F85" i="9" s="1"/>
  <c r="I85" i="9" s="1"/>
  <c r="E49" i="9"/>
  <c r="D49" i="9"/>
  <c r="P80" i="9"/>
  <c r="R80" i="9" s="1"/>
  <c r="V80" i="9" s="1"/>
  <c r="O80" i="9"/>
  <c r="Q80" i="9" s="1"/>
  <c r="T80" i="9" s="1"/>
  <c r="E76" i="9"/>
  <c r="G76" i="9" s="1"/>
  <c r="J76" i="9" s="1"/>
  <c r="D76" i="9"/>
  <c r="F76" i="9" s="1"/>
  <c r="I76" i="9" s="1"/>
  <c r="P59" i="9"/>
  <c r="R59" i="9" s="1"/>
  <c r="V59" i="9" s="1"/>
  <c r="O59" i="9"/>
  <c r="Q59" i="9" s="1"/>
  <c r="T59" i="9" s="1"/>
  <c r="E83" i="9"/>
  <c r="G83" i="9" s="1"/>
  <c r="J83" i="9" s="1"/>
  <c r="D83" i="9"/>
  <c r="F83" i="9" s="1"/>
  <c r="I83" i="9" s="1"/>
  <c r="E47" i="9"/>
  <c r="I47" i="9"/>
  <c r="E57" i="9"/>
  <c r="D57" i="9"/>
  <c r="P52" i="9"/>
  <c r="R52" i="9" s="1"/>
  <c r="V52" i="9" s="1"/>
  <c r="O52" i="9"/>
  <c r="Q52" i="9" s="1"/>
  <c r="T52" i="9" s="1"/>
  <c r="E48" i="9"/>
  <c r="D48" i="9"/>
  <c r="P71" i="9"/>
  <c r="R71" i="9" s="1"/>
  <c r="V71" i="9" s="1"/>
  <c r="O71" i="9"/>
  <c r="Q71" i="9" s="1"/>
  <c r="T71" i="9" s="1"/>
  <c r="E55" i="9"/>
  <c r="D55" i="9"/>
  <c r="P85" i="9"/>
  <c r="R85" i="9" s="1"/>
  <c r="V85" i="9" s="1"/>
  <c r="O85" i="9"/>
  <c r="Q85" i="9" s="1"/>
  <c r="T85" i="9" s="1"/>
  <c r="P49" i="9"/>
  <c r="R49" i="9" s="1"/>
  <c r="V49" i="9" s="1"/>
  <c r="O49" i="9"/>
  <c r="Q49" i="9" s="1"/>
  <c r="T49" i="9" s="1"/>
  <c r="E81" i="9"/>
  <c r="G81" i="9" s="1"/>
  <c r="J81" i="9" s="1"/>
  <c r="D81" i="9"/>
  <c r="F81" i="9" s="1"/>
  <c r="I81" i="9" s="1"/>
  <c r="P76" i="9"/>
  <c r="R76" i="9" s="1"/>
  <c r="V76" i="9" s="1"/>
  <c r="O76" i="9"/>
  <c r="Q76" i="9" s="1"/>
  <c r="T76" i="9" s="1"/>
  <c r="R70" i="9"/>
  <c r="V70" i="9" s="1"/>
  <c r="E72" i="9"/>
  <c r="G72" i="9" s="1"/>
  <c r="J72" i="9" s="1"/>
  <c r="D72" i="9"/>
  <c r="F72" i="9" s="1"/>
  <c r="I72" i="9" s="1"/>
  <c r="P55" i="9"/>
  <c r="R55" i="9" s="1"/>
  <c r="V55" i="9" s="1"/>
  <c r="O55" i="9"/>
  <c r="Q55" i="9" s="1"/>
  <c r="T55" i="9" s="1"/>
  <c r="E79" i="9"/>
  <c r="G79" i="9" s="1"/>
  <c r="J79" i="9" s="1"/>
  <c r="D79" i="9"/>
  <c r="F79" i="9" s="1"/>
  <c r="I79" i="9" s="1"/>
  <c r="P61" i="9"/>
  <c r="R61" i="9" s="1"/>
  <c r="V61" i="9" s="1"/>
  <c r="O61" i="9"/>
  <c r="Q61" i="9" s="1"/>
  <c r="T61" i="9" s="1"/>
  <c r="P81" i="9"/>
  <c r="R81" i="9" s="1"/>
  <c r="V81" i="9" s="1"/>
  <c r="O81" i="9"/>
  <c r="Q81" i="9" s="1"/>
  <c r="T81" i="9" s="1"/>
  <c r="E77" i="9"/>
  <c r="G77" i="9" s="1"/>
  <c r="J77" i="9" s="1"/>
  <c r="D77" i="9"/>
  <c r="F77" i="9" s="1"/>
  <c r="I77" i="9" s="1"/>
  <c r="P72" i="9"/>
  <c r="R72" i="9" s="1"/>
  <c r="V72" i="9" s="1"/>
  <c r="O72" i="9"/>
  <c r="Q72" i="9" s="1"/>
  <c r="T72" i="9" s="1"/>
  <c r="E68" i="9"/>
  <c r="G68" i="9" s="1"/>
  <c r="J68" i="9" s="1"/>
  <c r="D68" i="9"/>
  <c r="F68" i="9" s="1"/>
  <c r="I68" i="9" s="1"/>
  <c r="P51" i="9"/>
  <c r="R51" i="9" s="1"/>
  <c r="V51" i="9" s="1"/>
  <c r="O51" i="9"/>
  <c r="Q51" i="9" s="1"/>
  <c r="T51" i="9" s="1"/>
  <c r="E75" i="9"/>
  <c r="G75" i="9" s="1"/>
  <c r="J75" i="9" s="1"/>
  <c r="D75" i="9"/>
  <c r="F75" i="9" s="1"/>
  <c r="I75" i="9" s="1"/>
  <c r="P77" i="9"/>
  <c r="R77" i="9" s="1"/>
  <c r="V77" i="9" s="1"/>
  <c r="O77" i="9"/>
  <c r="Q77" i="9" s="1"/>
  <c r="T77" i="9" s="1"/>
  <c r="R74" i="9"/>
  <c r="V74" i="9" s="1"/>
  <c r="E73" i="9"/>
  <c r="G73" i="9" s="1"/>
  <c r="J73" i="9" s="1"/>
  <c r="D73" i="9"/>
  <c r="F73" i="9" s="1"/>
  <c r="I73" i="9" s="1"/>
  <c r="P68" i="9"/>
  <c r="R68" i="9" s="1"/>
  <c r="V68" i="9" s="1"/>
  <c r="O68" i="9"/>
  <c r="Q68" i="9" s="1"/>
  <c r="T68" i="9" s="1"/>
  <c r="E60" i="9"/>
  <c r="D60" i="9"/>
  <c r="P83" i="9"/>
  <c r="R83" i="9" s="1"/>
  <c r="V83" i="9" s="1"/>
  <c r="O83" i="9"/>
  <c r="Q83" i="9" s="1"/>
  <c r="T83" i="9" s="1"/>
  <c r="P47" i="9"/>
  <c r="R47" i="9" s="1"/>
  <c r="V47" i="9" s="1"/>
  <c r="O47" i="9"/>
  <c r="Q47" i="9" s="1"/>
  <c r="T47" i="9" s="1"/>
  <c r="E71" i="9"/>
  <c r="G71" i="9" s="1"/>
  <c r="J71" i="9" s="1"/>
  <c r="D71" i="9"/>
  <c r="F71" i="9" s="1"/>
  <c r="I71" i="9" s="1"/>
  <c r="R82" i="9"/>
  <c r="V82" i="9" s="1"/>
  <c r="E77" i="7"/>
  <c r="G77" i="7" s="1"/>
  <c r="J77" i="7" s="1"/>
  <c r="D77" i="7"/>
  <c r="F77" i="7" s="1"/>
  <c r="I77" i="7" s="1"/>
  <c r="P80" i="7"/>
  <c r="R80" i="7" s="1"/>
  <c r="U80" i="7" s="1"/>
  <c r="O80" i="7"/>
  <c r="Q80" i="7" s="1"/>
  <c r="T80" i="7" s="1"/>
  <c r="P61" i="7"/>
  <c r="R61" i="7" s="1"/>
  <c r="U61" i="7" s="1"/>
  <c r="O61" i="7"/>
  <c r="Q61" i="7" s="1"/>
  <c r="T61" i="7" s="1"/>
  <c r="E69" i="7"/>
  <c r="G69" i="7" s="1"/>
  <c r="J69" i="7" s="1"/>
  <c r="D69" i="7"/>
  <c r="F69" i="7" s="1"/>
  <c r="I69" i="7" s="1"/>
  <c r="P76" i="7"/>
  <c r="R76" i="7" s="1"/>
  <c r="U76" i="7" s="1"/>
  <c r="O76" i="7"/>
  <c r="Q76" i="7" s="1"/>
  <c r="T76" i="7" s="1"/>
  <c r="E72" i="7"/>
  <c r="G72" i="7" s="1"/>
  <c r="J72" i="7" s="1"/>
  <c r="D72" i="7"/>
  <c r="F72" i="7" s="1"/>
  <c r="I72" i="7" s="1"/>
  <c r="P79" i="7"/>
  <c r="R79" i="7" s="1"/>
  <c r="U79" i="7" s="1"/>
  <c r="O79" i="7"/>
  <c r="Q79" i="7" s="1"/>
  <c r="T79" i="7" s="1"/>
  <c r="P73" i="7"/>
  <c r="R73" i="7" s="1"/>
  <c r="U73" i="7" s="1"/>
  <c r="O73" i="7"/>
  <c r="Q73" i="7" s="1"/>
  <c r="T73" i="7" s="1"/>
  <c r="P84" i="7"/>
  <c r="R84" i="7" s="1"/>
  <c r="U84" i="7" s="1"/>
  <c r="O84" i="7"/>
  <c r="Q84" i="7" s="1"/>
  <c r="T84" i="7" s="1"/>
  <c r="P57" i="7"/>
  <c r="R57" i="7" s="1"/>
  <c r="U57" i="7" s="1"/>
  <c r="O57" i="7"/>
  <c r="Q57" i="7" s="1"/>
  <c r="T57" i="7" s="1"/>
  <c r="E61" i="7"/>
  <c r="G61" i="7" s="1"/>
  <c r="J61" i="7" s="1"/>
  <c r="D61" i="7"/>
  <c r="F61" i="7" s="1"/>
  <c r="I61" i="7" s="1"/>
  <c r="P72" i="7"/>
  <c r="R72" i="7" s="1"/>
  <c r="U72" i="7" s="1"/>
  <c r="O72" i="7"/>
  <c r="Q72" i="7" s="1"/>
  <c r="T72" i="7" s="1"/>
  <c r="P75" i="7"/>
  <c r="R75" i="7" s="1"/>
  <c r="U75" i="7" s="1"/>
  <c r="O75" i="7"/>
  <c r="Q75" i="7" s="1"/>
  <c r="T75" i="7" s="1"/>
  <c r="R78" i="7"/>
  <c r="U78" i="7" s="1"/>
  <c r="R82" i="7"/>
  <c r="U82" i="7" s="1"/>
  <c r="E80" i="7"/>
  <c r="G80" i="7" s="1"/>
  <c r="J80" i="7" s="1"/>
  <c r="D80" i="7"/>
  <c r="F80" i="7" s="1"/>
  <c r="I80" i="7" s="1"/>
  <c r="P53" i="7"/>
  <c r="R53" i="7" s="1"/>
  <c r="U53" i="7" s="1"/>
  <c r="O53" i="7"/>
  <c r="Q53" i="7" s="1"/>
  <c r="T53" i="7" s="1"/>
  <c r="E57" i="7"/>
  <c r="G57" i="7" s="1"/>
  <c r="J57" i="7" s="1"/>
  <c r="D57" i="7"/>
  <c r="F57" i="7" s="1"/>
  <c r="I57" i="7" s="1"/>
  <c r="P68" i="7"/>
  <c r="R68" i="7" s="1"/>
  <c r="U68" i="7" s="1"/>
  <c r="O68" i="7"/>
  <c r="Q68" i="7" s="1"/>
  <c r="T68" i="7" s="1"/>
  <c r="R70" i="7"/>
  <c r="U70" i="7" s="1"/>
  <c r="P71" i="7"/>
  <c r="R71" i="7" s="1"/>
  <c r="U71" i="7" s="1"/>
  <c r="O71" i="7"/>
  <c r="Q71" i="7" s="1"/>
  <c r="T71" i="7" s="1"/>
  <c r="E83" i="7"/>
  <c r="G83" i="7" s="1"/>
  <c r="J83" i="7" s="1"/>
  <c r="D83" i="7"/>
  <c r="F83" i="7" s="1"/>
  <c r="I83" i="7" s="1"/>
  <c r="P69" i="7"/>
  <c r="R69" i="7" s="1"/>
  <c r="U69" i="7" s="1"/>
  <c r="O69" i="7"/>
  <c r="Q69" i="7" s="1"/>
  <c r="T69" i="7" s="1"/>
  <c r="E73" i="7"/>
  <c r="G73" i="7" s="1"/>
  <c r="J73" i="7" s="1"/>
  <c r="D73" i="7"/>
  <c r="F73" i="7" s="1"/>
  <c r="I73" i="7" s="1"/>
  <c r="P83" i="7"/>
  <c r="R83" i="7" s="1"/>
  <c r="U83" i="7" s="1"/>
  <c r="O83" i="7"/>
  <c r="Q83" i="7" s="1"/>
  <c r="T83" i="7" s="1"/>
  <c r="P85" i="7"/>
  <c r="R85" i="7" s="1"/>
  <c r="U85" i="7" s="1"/>
  <c r="O85" i="7"/>
  <c r="Q85" i="7" s="1"/>
  <c r="T85" i="7" s="1"/>
  <c r="P49" i="7"/>
  <c r="R49" i="7" s="1"/>
  <c r="U49" i="7" s="1"/>
  <c r="O49" i="7"/>
  <c r="Q49" i="7" s="1"/>
  <c r="T49" i="7" s="1"/>
  <c r="E53" i="7"/>
  <c r="G53" i="7" s="1"/>
  <c r="J53" i="7" s="1"/>
  <c r="D53" i="7"/>
  <c r="F53" i="7" s="1"/>
  <c r="I53" i="7" s="1"/>
  <c r="P60" i="7"/>
  <c r="R60" i="7" s="1"/>
  <c r="U60" i="7" s="1"/>
  <c r="O60" i="7"/>
  <c r="Q60" i="7" s="1"/>
  <c r="T60" i="7" s="1"/>
  <c r="P63" i="7"/>
  <c r="R63" i="7" s="1"/>
  <c r="U63" i="7" s="1"/>
  <c r="O63" i="7"/>
  <c r="Q63" i="7" s="1"/>
  <c r="T63" i="7" s="1"/>
  <c r="P51" i="7"/>
  <c r="R51" i="7" s="1"/>
  <c r="U51" i="7" s="1"/>
  <c r="O51" i="7"/>
  <c r="Q51" i="7" s="1"/>
  <c r="T51" i="7" s="1"/>
  <c r="E76" i="7"/>
  <c r="G76" i="7" s="1"/>
  <c r="J76" i="7" s="1"/>
  <c r="D76" i="7"/>
  <c r="F76" i="7" s="1"/>
  <c r="I76" i="7" s="1"/>
  <c r="P47" i="7"/>
  <c r="R47" i="7" s="1"/>
  <c r="U47" i="7" s="1"/>
  <c r="O47" i="7"/>
  <c r="Q47" i="7" s="1"/>
  <c r="T47" i="7" s="1"/>
  <c r="P81" i="7"/>
  <c r="R81" i="7" s="1"/>
  <c r="U81" i="7" s="1"/>
  <c r="O81" i="7"/>
  <c r="Q81" i="7" s="1"/>
  <c r="T81" i="7" s="1"/>
  <c r="E85" i="7"/>
  <c r="G85" i="7" s="1"/>
  <c r="J85" i="7" s="1"/>
  <c r="D85" i="7"/>
  <c r="F85" i="7" s="1"/>
  <c r="I85" i="7" s="1"/>
  <c r="P56" i="7"/>
  <c r="R56" i="7" s="1"/>
  <c r="U56" i="7" s="1"/>
  <c r="O56" i="7"/>
  <c r="Q56" i="7" s="1"/>
  <c r="T56" i="7" s="1"/>
  <c r="P59" i="7"/>
  <c r="R59" i="7" s="1"/>
  <c r="U59" i="7" s="1"/>
  <c r="O59" i="7"/>
  <c r="Q59" i="7" s="1"/>
  <c r="T59" i="7" s="1"/>
  <c r="P77" i="7"/>
  <c r="R77" i="7" s="1"/>
  <c r="U77" i="7" s="1"/>
  <c r="O77" i="7"/>
  <c r="Q77" i="7" s="1"/>
  <c r="T77" i="7" s="1"/>
  <c r="E81" i="7"/>
  <c r="G81" i="7" s="1"/>
  <c r="J81" i="7" s="1"/>
  <c r="D81" i="7"/>
  <c r="F81" i="7" s="1"/>
  <c r="I81" i="7" s="1"/>
  <c r="E84" i="7"/>
  <c r="G84" i="7" s="1"/>
  <c r="J84" i="7" s="1"/>
  <c r="D84" i="7"/>
  <c r="F84" i="7" s="1"/>
  <c r="I84" i="7" s="1"/>
  <c r="P55" i="7"/>
  <c r="R55" i="7" s="1"/>
  <c r="U55" i="7" s="1"/>
  <c r="O55" i="7"/>
  <c r="Q55" i="7" s="1"/>
  <c r="T55" i="7" s="1"/>
  <c r="R70" i="2"/>
  <c r="U70" i="2" s="1"/>
  <c r="R69" i="2"/>
  <c r="U69" i="2" s="1"/>
  <c r="R83" i="2"/>
  <c r="U83" i="2" s="1"/>
  <c r="R81" i="2"/>
  <c r="U81" i="2" s="1"/>
  <c r="R80" i="2"/>
  <c r="U80" i="2" s="1"/>
  <c r="R74" i="2"/>
  <c r="U74" i="2" s="1"/>
  <c r="R77" i="2"/>
  <c r="U77" i="2" s="1"/>
  <c r="R84" i="2"/>
  <c r="U84" i="2" s="1"/>
  <c r="R75" i="2"/>
  <c r="U75" i="2" s="1"/>
  <c r="U73" i="2"/>
  <c r="R73" i="2"/>
  <c r="R72" i="2"/>
  <c r="U72" i="2" s="1"/>
  <c r="R78" i="2"/>
  <c r="U78" i="2" s="1"/>
  <c r="R85" i="2"/>
  <c r="U85" i="2" s="1"/>
  <c r="R76" i="2"/>
  <c r="U76" i="2" s="1"/>
  <c r="R82" i="2"/>
  <c r="U82" i="2" s="1"/>
  <c r="R71" i="2"/>
  <c r="U71" i="2" s="1"/>
  <c r="R79" i="2"/>
  <c r="U79" i="2" s="1"/>
  <c r="R68" i="2"/>
  <c r="U68" i="2" s="1"/>
  <c r="R77" i="5"/>
  <c r="U77" i="5" s="1"/>
  <c r="T53" i="5"/>
  <c r="E77" i="5"/>
  <c r="G77" i="5" s="1"/>
  <c r="J77" i="5" s="1"/>
  <c r="D77" i="5"/>
  <c r="F77" i="5" s="1"/>
  <c r="I77" i="5" s="1"/>
  <c r="R68" i="5"/>
  <c r="U68" i="5" s="1"/>
  <c r="R83" i="5"/>
  <c r="U83" i="5" s="1"/>
  <c r="R74" i="5"/>
  <c r="U74" i="5" s="1"/>
  <c r="E69" i="5"/>
  <c r="G69" i="5" s="1"/>
  <c r="J69" i="5" s="1"/>
  <c r="D69" i="5"/>
  <c r="F69" i="5" s="1"/>
  <c r="I69" i="5" s="1"/>
  <c r="P80" i="5"/>
  <c r="R80" i="5" s="1"/>
  <c r="U80" i="5" s="1"/>
  <c r="O80" i="5"/>
  <c r="Q80" i="5" s="1"/>
  <c r="T80" i="5" s="1"/>
  <c r="R79" i="5"/>
  <c r="U79" i="5" s="1"/>
  <c r="R70" i="5"/>
  <c r="U70" i="5" s="1"/>
  <c r="E73" i="5"/>
  <c r="G73" i="5" s="1"/>
  <c r="J73" i="5" s="1"/>
  <c r="D73" i="5"/>
  <c r="F73" i="5" s="1"/>
  <c r="I73" i="5" s="1"/>
  <c r="R85" i="5"/>
  <c r="U85" i="5" s="1"/>
  <c r="R69" i="5"/>
  <c r="U69" i="5" s="1"/>
  <c r="E61" i="5"/>
  <c r="J61" i="5" s="1"/>
  <c r="D61" i="5"/>
  <c r="I61" i="5" s="1"/>
  <c r="T56" i="5"/>
  <c r="T55" i="5"/>
  <c r="T62" i="5"/>
  <c r="T46" i="5"/>
  <c r="T61" i="5"/>
  <c r="E57" i="5"/>
  <c r="J57" i="5" s="1"/>
  <c r="D57" i="5"/>
  <c r="I57" i="5" s="1"/>
  <c r="R76" i="5"/>
  <c r="U76" i="5" s="1"/>
  <c r="E84" i="5"/>
  <c r="G84" i="5" s="1"/>
  <c r="J84" i="5" s="1"/>
  <c r="D84" i="5"/>
  <c r="F84" i="5" s="1"/>
  <c r="I84" i="5" s="1"/>
  <c r="R75" i="5"/>
  <c r="U75" i="5" s="1"/>
  <c r="R82" i="5"/>
  <c r="U82" i="5" s="1"/>
  <c r="R73" i="5"/>
  <c r="U73" i="5" s="1"/>
  <c r="P84" i="5"/>
  <c r="R84" i="5" s="1"/>
  <c r="U84" i="5" s="1"/>
  <c r="O84" i="5"/>
  <c r="Q84" i="5" s="1"/>
  <c r="T84" i="5" s="1"/>
  <c r="R81" i="5"/>
  <c r="U81" i="5" s="1"/>
  <c r="E53" i="5"/>
  <c r="J53" i="5" s="1"/>
  <c r="D53" i="5"/>
  <c r="I53" i="5" s="1"/>
  <c r="T52" i="5"/>
  <c r="T51" i="5"/>
  <c r="T58" i="5"/>
  <c r="E81" i="5"/>
  <c r="G81" i="5" s="1"/>
  <c r="J81" i="5" s="1"/>
  <c r="D81" i="5"/>
  <c r="F81" i="5" s="1"/>
  <c r="I81" i="5" s="1"/>
  <c r="E85" i="5"/>
  <c r="G85" i="5" s="1"/>
  <c r="J85" i="5" s="1"/>
  <c r="D85" i="5"/>
  <c r="F85" i="5" s="1"/>
  <c r="I85" i="5" s="1"/>
  <c r="E49" i="5"/>
  <c r="J49" i="5" s="1"/>
  <c r="D49" i="5"/>
  <c r="I49" i="5" s="1"/>
  <c r="R72" i="5"/>
  <c r="U72" i="5" s="1"/>
  <c r="R71" i="5"/>
  <c r="U71" i="5" s="1"/>
  <c r="R78" i="5"/>
  <c r="U78" i="5" s="1"/>
  <c r="G53" i="9" l="1"/>
  <c r="J53" i="9" s="1"/>
  <c r="F61" i="9"/>
  <c r="I61" i="9" s="1"/>
  <c r="G61" i="9"/>
  <c r="J61" i="9" s="1"/>
  <c r="F57" i="9"/>
  <c r="I57" i="9" s="1"/>
  <c r="G55" i="9"/>
  <c r="J55" i="9" s="1"/>
  <c r="G57" i="9"/>
  <c r="J57" i="9" s="1"/>
  <c r="F52" i="9"/>
  <c r="I52" i="9" s="1"/>
  <c r="F63" i="9"/>
  <c r="I63" i="9" s="1"/>
  <c r="G48" i="9"/>
  <c r="J48" i="9" s="1"/>
  <c r="G59" i="9"/>
  <c r="J59" i="9" s="1"/>
  <c r="F55" i="9"/>
  <c r="I55" i="9" s="1"/>
  <c r="F60" i="9"/>
  <c r="I60" i="9" s="1"/>
  <c r="F51" i="9"/>
  <c r="I51" i="9" s="1"/>
  <c r="G52" i="9"/>
  <c r="J52" i="9" s="1"/>
  <c r="G63" i="9"/>
  <c r="J63" i="9" s="1"/>
  <c r="G49" i="9"/>
  <c r="J49" i="9" s="1"/>
  <c r="F56" i="9"/>
  <c r="I56" i="9" s="1"/>
  <c r="G56" i="9"/>
  <c r="J56" i="9" s="1"/>
  <c r="G60" i="9"/>
  <c r="J60" i="9" s="1"/>
  <c r="G47" i="9"/>
  <c r="J47" i="9" s="1"/>
  <c r="G51" i="9"/>
  <c r="J51" i="9" s="1"/>
  <c r="F48" i="9"/>
  <c r="I48" i="9" s="1"/>
  <c r="F49" i="9"/>
  <c r="I49" i="9" s="1"/>
  <c r="F53" i="9"/>
  <c r="I53" i="9" s="1"/>
  <c r="F59" i="9"/>
  <c r="I59" i="9" s="1"/>
  <c r="D37" i="2"/>
  <c r="B38" i="2" s="1"/>
  <c r="B36" i="2"/>
  <c r="E29" i="2"/>
  <c r="E16" i="2"/>
  <c r="E19" i="2" s="1"/>
  <c r="E17" i="2"/>
  <c r="E20" i="2" s="1"/>
  <c r="B31" i="2"/>
  <c r="B17" i="2"/>
  <c r="B16" i="2"/>
  <c r="E28" i="2" l="1"/>
  <c r="B30" i="2" s="1"/>
  <c r="B24" i="2"/>
  <c r="Q48" i="2" l="1"/>
  <c r="Q56" i="2"/>
  <c r="Q46" i="2"/>
  <c r="Q57" i="2"/>
  <c r="Q50" i="2"/>
  <c r="Q58" i="2"/>
  <c r="Q60" i="2"/>
  <c r="Q62" i="2"/>
  <c r="Q49" i="2"/>
  <c r="Q55" i="2"/>
  <c r="Q63" i="2"/>
  <c r="Q51" i="2"/>
  <c r="Q59" i="2"/>
  <c r="Q61" i="2"/>
  <c r="Q52" i="2"/>
  <c r="Q47" i="2"/>
  <c r="Q53" i="2"/>
  <c r="Q54" i="2"/>
  <c r="Q72" i="2"/>
  <c r="T72" i="2" s="1"/>
  <c r="Q80" i="2"/>
  <c r="T80" i="2" s="1"/>
  <c r="Q78" i="2"/>
  <c r="T78" i="2" s="1"/>
  <c r="Q77" i="2"/>
  <c r="T77" i="2" s="1"/>
  <c r="Q73" i="2"/>
  <c r="T73" i="2" s="1"/>
  <c r="Q68" i="2"/>
  <c r="T68" i="2" s="1"/>
  <c r="Q82" i="2"/>
  <c r="T82" i="2" s="1"/>
  <c r="Q71" i="2"/>
  <c r="T71" i="2" s="1"/>
  <c r="Q74" i="2"/>
  <c r="T74" i="2" s="1"/>
  <c r="Q79" i="2"/>
  <c r="T79" i="2" s="1"/>
  <c r="Q85" i="2"/>
  <c r="T85" i="2" s="1"/>
  <c r="Q76" i="2"/>
  <c r="T76" i="2" s="1"/>
  <c r="Q84" i="2"/>
  <c r="T84" i="2" s="1"/>
  <c r="Q81" i="2"/>
  <c r="T81" i="2" s="1"/>
  <c r="Q70" i="2"/>
  <c r="T70" i="2" s="1"/>
  <c r="Q83" i="2"/>
  <c r="T83" i="2" s="1"/>
  <c r="Q69" i="2"/>
  <c r="T69" i="2" s="1"/>
  <c r="Q75" i="2"/>
  <c r="T75" i="2" s="1"/>
  <c r="D57" i="2"/>
  <c r="E51" i="2"/>
  <c r="E62" i="2"/>
  <c r="D63" i="2"/>
  <c r="E58" i="2"/>
  <c r="D59" i="2"/>
  <c r="E61" i="2"/>
  <c r="E52" i="2"/>
  <c r="D55" i="2"/>
  <c r="F55" i="2" s="1"/>
  <c r="D50" i="2"/>
  <c r="E60" i="2"/>
  <c r="D49" i="2"/>
  <c r="E54" i="2"/>
  <c r="D53" i="2"/>
  <c r="D56" i="2"/>
  <c r="E56" i="2"/>
  <c r="G56" i="2" s="1"/>
  <c r="J56" i="2" s="1"/>
  <c r="I46" i="2"/>
  <c r="F59" i="2" l="1"/>
  <c r="I59" i="2" s="1"/>
  <c r="F49" i="2"/>
  <c r="I49" i="2" s="1"/>
  <c r="G60" i="2"/>
  <c r="J60" i="2" s="1"/>
  <c r="G62" i="2"/>
  <c r="J62" i="2" s="1"/>
  <c r="G51" i="2"/>
  <c r="J51" i="2" s="1"/>
  <c r="G54" i="2"/>
  <c r="J54" i="2" s="1"/>
  <c r="F63" i="2"/>
  <c r="I63" i="2" s="1"/>
  <c r="F50" i="2"/>
  <c r="I50" i="2" s="1"/>
  <c r="G47" i="2"/>
  <c r="J47" i="2" s="1"/>
  <c r="G58" i="2"/>
  <c r="J58" i="2" s="1"/>
  <c r="F56" i="2"/>
  <c r="I56" i="2" s="1"/>
  <c r="G52" i="2"/>
  <c r="J52" i="2" s="1"/>
  <c r="F53" i="2"/>
  <c r="I53" i="2" s="1"/>
  <c r="G61" i="2"/>
  <c r="J61" i="2" s="1"/>
  <c r="F57" i="2"/>
  <c r="I57" i="2" s="1"/>
  <c r="O47" i="2"/>
  <c r="P47" i="2"/>
  <c r="O62" i="2"/>
  <c r="P62" i="2"/>
  <c r="P48" i="2"/>
  <c r="O48" i="2"/>
  <c r="P59" i="2"/>
  <c r="O59" i="2"/>
  <c r="O61" i="2"/>
  <c r="P61" i="2"/>
  <c r="P51" i="2"/>
  <c r="O51" i="2"/>
  <c r="P63" i="2"/>
  <c r="O63" i="2"/>
  <c r="P58" i="2"/>
  <c r="O58" i="2"/>
  <c r="P46" i="2"/>
  <c r="T46" i="2"/>
  <c r="P54" i="2"/>
  <c r="O54" i="2"/>
  <c r="P60" i="2"/>
  <c r="O60" i="2"/>
  <c r="O49" i="2"/>
  <c r="P49" i="2"/>
  <c r="P50" i="2"/>
  <c r="O50" i="2"/>
  <c r="P53" i="2"/>
  <c r="O53" i="2"/>
  <c r="P56" i="2"/>
  <c r="O56" i="2"/>
  <c r="O52" i="2"/>
  <c r="P52" i="2"/>
  <c r="P55" i="2"/>
  <c r="O55" i="2"/>
  <c r="P57" i="2"/>
  <c r="O57" i="2"/>
  <c r="J46" i="2"/>
  <c r="D70" i="2"/>
  <c r="E70" i="2"/>
  <c r="G70" i="2" s="1"/>
  <c r="J70" i="2" s="1"/>
  <c r="D78" i="2"/>
  <c r="E78" i="2"/>
  <c r="G78" i="2" s="1"/>
  <c r="J78" i="2" s="1"/>
  <c r="E74" i="2"/>
  <c r="G74" i="2" s="1"/>
  <c r="J74" i="2" s="1"/>
  <c r="D74" i="2"/>
  <c r="D48" i="2"/>
  <c r="E48" i="2"/>
  <c r="D79" i="2"/>
  <c r="E79" i="2"/>
  <c r="G79" i="2" s="1"/>
  <c r="J79" i="2" s="1"/>
  <c r="E84" i="2"/>
  <c r="G84" i="2" s="1"/>
  <c r="J84" i="2" s="1"/>
  <c r="D84" i="2"/>
  <c r="E57" i="2"/>
  <c r="D68" i="2"/>
  <c r="F68" i="2" s="1"/>
  <c r="I68" i="2" s="1"/>
  <c r="E68" i="2"/>
  <c r="G68" i="2" s="1"/>
  <c r="J68" i="2" s="1"/>
  <c r="E76" i="2"/>
  <c r="G76" i="2" s="1"/>
  <c r="J76" i="2" s="1"/>
  <c r="D76" i="2"/>
  <c r="E75" i="2"/>
  <c r="G75" i="2" s="1"/>
  <c r="J75" i="2" s="1"/>
  <c r="D75" i="2"/>
  <c r="D72" i="2"/>
  <c r="E72" i="2"/>
  <c r="G72" i="2" s="1"/>
  <c r="J72" i="2" s="1"/>
  <c r="E82" i="2"/>
  <c r="G82" i="2" s="1"/>
  <c r="J82" i="2" s="1"/>
  <c r="D82" i="2"/>
  <c r="E85" i="2"/>
  <c r="G85" i="2" s="1"/>
  <c r="J85" i="2" s="1"/>
  <c r="D85" i="2"/>
  <c r="D71" i="2"/>
  <c r="E71" i="2"/>
  <c r="G71" i="2" s="1"/>
  <c r="J71" i="2" s="1"/>
  <c r="D60" i="2"/>
  <c r="D80" i="2"/>
  <c r="E80" i="2"/>
  <c r="G80" i="2" s="1"/>
  <c r="J80" i="2" s="1"/>
  <c r="E83" i="2"/>
  <c r="G83" i="2" s="1"/>
  <c r="J83" i="2" s="1"/>
  <c r="D83" i="2"/>
  <c r="E77" i="2"/>
  <c r="G77" i="2" s="1"/>
  <c r="J77" i="2" s="1"/>
  <c r="D77" i="2"/>
  <c r="E73" i="2"/>
  <c r="G73" i="2" s="1"/>
  <c r="J73" i="2" s="1"/>
  <c r="D73" i="2"/>
  <c r="E81" i="2"/>
  <c r="G81" i="2" s="1"/>
  <c r="J81" i="2" s="1"/>
  <c r="D81" i="2"/>
  <c r="E69" i="2"/>
  <c r="G69" i="2" s="1"/>
  <c r="J69" i="2" s="1"/>
  <c r="D69" i="2"/>
  <c r="E49" i="2"/>
  <c r="E53" i="2"/>
  <c r="D52" i="2"/>
  <c r="D51" i="2"/>
  <c r="D54" i="2"/>
  <c r="D61" i="2"/>
  <c r="E63" i="2"/>
  <c r="D62" i="2"/>
  <c r="I55" i="2"/>
  <c r="E50" i="2"/>
  <c r="E59" i="2"/>
  <c r="E55" i="2"/>
  <c r="D58" i="2"/>
  <c r="F54" i="2" l="1"/>
  <c r="I54" i="2" s="1"/>
  <c r="F60" i="2"/>
  <c r="I60" i="2" s="1"/>
  <c r="G53" i="2"/>
  <c r="J53" i="2" s="1"/>
  <c r="F61" i="2"/>
  <c r="I61" i="2" s="1"/>
  <c r="G57" i="2"/>
  <c r="J57" i="2" s="1"/>
  <c r="F52" i="2"/>
  <c r="I52" i="2" s="1"/>
  <c r="I47" i="2"/>
  <c r="G49" i="2"/>
  <c r="J49" i="2" s="1"/>
  <c r="F51" i="2"/>
  <c r="I51" i="2" s="1"/>
  <c r="G50" i="2"/>
  <c r="J50" i="2" s="1"/>
  <c r="F62" i="2"/>
  <c r="I62" i="2" s="1"/>
  <c r="G48" i="2"/>
  <c r="J48" i="2" s="1"/>
  <c r="F58" i="2"/>
  <c r="I58" i="2" s="1"/>
  <c r="G55" i="2"/>
  <c r="J55" i="2" s="1"/>
  <c r="G59" i="2"/>
  <c r="J59" i="2" s="1"/>
  <c r="G63" i="2"/>
  <c r="J63" i="2" s="1"/>
  <c r="F48" i="2"/>
  <c r="I48" i="2" s="1"/>
  <c r="T47" i="2"/>
  <c r="T52" i="2"/>
  <c r="T59" i="2"/>
  <c r="T56" i="2"/>
  <c r="T60" i="2"/>
  <c r="U59" i="2"/>
  <c r="U56" i="2"/>
  <c r="U60" i="2"/>
  <c r="T63" i="2"/>
  <c r="T48" i="2"/>
  <c r="T61" i="2"/>
  <c r="T58" i="2"/>
  <c r="T57" i="2"/>
  <c r="T53" i="2"/>
  <c r="T54" i="2"/>
  <c r="U63" i="2"/>
  <c r="U48" i="2"/>
  <c r="U52" i="2"/>
  <c r="T49" i="2"/>
  <c r="U58" i="2"/>
  <c r="U57" i="2"/>
  <c r="U53" i="2"/>
  <c r="U54" i="2"/>
  <c r="T51" i="2"/>
  <c r="U62" i="2"/>
  <c r="U49" i="2"/>
  <c r="T55" i="2"/>
  <c r="T50" i="2"/>
  <c r="U51" i="2"/>
  <c r="T62" i="2"/>
  <c r="U55" i="2"/>
  <c r="U50" i="2"/>
  <c r="U61" i="2"/>
  <c r="U47" i="2"/>
  <c r="U46" i="2"/>
  <c r="F85" i="2"/>
  <c r="I85" i="2" s="1"/>
  <c r="F82" i="2"/>
  <c r="I82" i="2" s="1"/>
  <c r="F70" i="2"/>
  <c r="I70" i="2" s="1"/>
  <c r="F79" i="2"/>
  <c r="I79" i="2" s="1"/>
  <c r="F69" i="2"/>
  <c r="I69" i="2" s="1"/>
  <c r="F74" i="2"/>
  <c r="I74" i="2" s="1"/>
  <c r="F80" i="2"/>
  <c r="I80" i="2" s="1"/>
  <c r="F76" i="2"/>
  <c r="I76" i="2" s="1"/>
  <c r="F83" i="2"/>
  <c r="I83" i="2" s="1"/>
  <c r="F81" i="2"/>
  <c r="I81" i="2" s="1"/>
  <c r="F73" i="2"/>
  <c r="I73" i="2" s="1"/>
  <c r="F72" i="2"/>
  <c r="I72" i="2" s="1"/>
  <c r="F84" i="2"/>
  <c r="I84" i="2" s="1"/>
  <c r="F75" i="2"/>
  <c r="I75" i="2" s="1"/>
  <c r="F78" i="2"/>
  <c r="I78" i="2" s="1"/>
  <c r="F77" i="2"/>
  <c r="I77" i="2" s="1"/>
  <c r="F71" i="2"/>
  <c r="I71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tc={48626106-4931-42AF-8758-47B089CC06C6}</author>
    <author>tc={D37B33D2-7474-4E51-B663-862A009E22C0}</author>
    <author>tc={BCB6CB17-F1A2-4230-8A92-556A0CA5EAAD}</author>
    <author>tc={59EBCE6D-FF5E-474E-8F24-9BA697576559}</author>
    <author>tc={2643A6A9-3193-4962-A1C8-A96C82D661FF}</author>
    <author>tc={7148F916-C686-4E8D-9D66-B1B13D1605EB}</author>
    <author>tc={ECC669F2-2A84-4C0B-A14A-4FC0756EC6D6}</author>
    <author>tc={B5B2AFD1-1632-4C92-8F5F-678026D55732}</author>
    <author>tc={0C1948A7-18ED-4E28-AB06-97369A0A5869}</author>
    <author>tc={A5629E79-8AD4-4F4C-B9FF-6C9565A0B4AE}</author>
    <author>tc={75318153-9E3D-4A0D-85E6-3F9F7D5C1D79}</author>
    <author>tc={ABB4BCC3-0E8B-48AD-A107-E00C0224CA5E}</author>
    <author>tc={B47559BE-8886-4802-8ACA-EE36CE870B66}</author>
    <author>tc={1AED0482-5E2A-4C2A-858E-B95BB99892CB}</author>
    <author>tc={CA949F3D-E4B1-40B9-998E-132DE3663139}</author>
    <author>tc={AA23B0A1-D09D-462E-90CB-B7E8C1A8EB94}</author>
    <author>tc={3BB0384F-3F96-43D7-AFBB-6665204C14FF}</author>
    <author>tc={55AAF4F6-ACE2-4D0E-B1F3-BF6EBB9FD8F1}</author>
    <author>tc={A697694C-17CA-4B29-9438-8C7A40260B0F}</author>
    <author>tc={08EF980B-BB9F-47F9-9ACA-7641C5AC86D7}</author>
    <author>tc={B4A167F2-D206-4B0B-B3FD-9E8029A66ABD}</author>
    <author>tc={3A1D1FB3-C659-4B8B-B0E6-3ED7CF7CBB5E}</author>
    <author>tc={126716BD-72DA-4D09-92A7-F9061DADE91C}</author>
    <author>tc={F2265B75-A59F-4B95-87BE-6633A477CA25}</author>
    <author>tc={9E6756CF-A579-4CA5-A84F-84F31D704FA7}</author>
    <author>tc={9C97E02D-A75F-414D-B259-39F83EC75F60}</author>
    <author>tc={5FFFADC9-0013-4514-A578-ABB7AF4B2EF3}</author>
    <author>tc={539D9275-8CF8-441D-BE09-C28F0C368CC6}</author>
  </authors>
  <commentList>
    <comment ref="O1" authorId="0" shapeId="0" xr:uid="{48626106-4931-42AF-8758-47B089CC06C6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4" authorId="1" shapeId="0" xr:uid="{D37B33D2-7474-4E51-B663-862A009E22C0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5" authorId="2" shapeId="0" xr:uid="{BCB6CB17-F1A2-4230-8A92-556A0CA5EAAD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19" authorId="3" shapeId="0" xr:uid="{59EBCE6D-FF5E-474E-8F24-9BA697576559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O21" authorId="4" shapeId="0" xr:uid="{2643A6A9-3193-4962-A1C8-A96C82D661FF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24" authorId="5" shapeId="0" xr:uid="{7148F916-C686-4E8D-9D66-B1B13D1605EB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25" authorId="6" shapeId="0" xr:uid="{ECC669F2-2A84-4C0B-A14A-4FC0756EC6D6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39" authorId="7" shapeId="0" xr:uid="{B5B2AFD1-1632-4C92-8F5F-678026D55732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O41" authorId="8" shapeId="0" xr:uid="{0C1948A7-18ED-4E28-AB06-97369A0A5869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44" authorId="9" shapeId="0" xr:uid="{A5629E79-8AD4-4F4C-B9FF-6C9565A0B4AE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45" authorId="10" shapeId="0" xr:uid="{75318153-9E3D-4A0D-85E6-3F9F7D5C1D79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59" authorId="11" shapeId="0" xr:uid="{ABB4BCC3-0E8B-48AD-A107-E00C0224CA5E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O61" authorId="12" shapeId="0" xr:uid="{B47559BE-8886-4802-8ACA-EE36CE870B66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64" authorId="13" shapeId="0" xr:uid="{1AED0482-5E2A-4C2A-858E-B95BB99892CB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65" authorId="14" shapeId="0" xr:uid="{CA949F3D-E4B1-40B9-998E-132DE3663139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79" authorId="15" shapeId="0" xr:uid="{AA23B0A1-D09D-462E-90CB-B7E8C1A8EB94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O81" authorId="16" shapeId="0" xr:uid="{3BB0384F-3F96-43D7-AFBB-6665204C14FF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84" authorId="17" shapeId="0" xr:uid="{55AAF4F6-ACE2-4D0E-B1F3-BF6EBB9FD8F1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85" authorId="18" shapeId="0" xr:uid="{A697694C-17CA-4B29-9438-8C7A40260B0F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99" authorId="19" shapeId="0" xr:uid="{08EF980B-BB9F-47F9-9ACA-7641C5AC86D7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O101" authorId="20" shapeId="0" xr:uid="{B4A167F2-D206-4B0B-B3FD-9E8029A66ABD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104" authorId="21" shapeId="0" xr:uid="{3A1D1FB3-C659-4B8B-B0E6-3ED7CF7CBB5E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105" authorId="22" shapeId="0" xr:uid="{126716BD-72DA-4D09-92A7-F9061DADE91C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119" authorId="23" shapeId="0" xr:uid="{F2265B75-A59F-4B95-87BE-6633A477CA25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O121" authorId="24" shapeId="0" xr:uid="{9E6756CF-A579-4CA5-A84F-84F31D704FA7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124" authorId="25" shapeId="0" xr:uid="{9C97E02D-A75F-414D-B259-39F83EC75F60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125" authorId="26" shapeId="0" xr:uid="{5FFFADC9-0013-4514-A578-ABB7AF4B2EF3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139" authorId="27" shapeId="0" xr:uid="{539D9275-8CF8-441D-BE09-C28F0C368CC6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tc={798494CE-306B-4A01-8F4B-57459FABF70B}</author>
    <author>tc={E2C39E0E-E643-4D72-B51E-2FFF3EC83341}</author>
    <author>tc={6C2FB434-CF2B-4BBD-A130-080CFC54352A}</author>
    <author>tc={EC96C32C-B5F9-4819-8D6A-BA000EE76CCF}</author>
    <author>tc={CBA26D95-78EC-4708-A054-C6DD261E9E22}</author>
    <author>tc={9C3588A1-B6B7-467E-B562-AC0EFBCE2766}</author>
    <author>tc={861BB0B7-949B-4321-99CE-180DC515214A}</author>
    <author>tc={3356BA23-ACBA-45C5-8946-1F9B7DF9A909}</author>
    <author>tc={1CF61F17-18B1-4431-A043-D4D301471233}</author>
    <author>tc={8BF16546-C151-442B-9578-759CADC05021}</author>
    <author>tc={1DB867C6-0221-48E1-A691-7E4F3022C14B}</author>
    <author>tc={B4BD60D9-DE10-4482-AB58-BDE68BA4E770}</author>
    <author>tc={1293D445-3F9B-478B-BCF1-EBA1190D0C66}</author>
    <author>tc={5A362508-AE9E-41EF-A49C-E6C7B81C50F7}</author>
  </authors>
  <commentList>
    <comment ref="B26" authorId="0" shapeId="0" xr:uid="{798494CE-306B-4A01-8F4B-57459FABF70B}">
      <text>
        <t>[Threaded comment]
Your version of Excel allows you to read this threaded comment; however, any edits to it will get removed if the file is opened in a newer version of Excel. Learn more: https://go.microsoft.com/fwlink/?linkid=870924
Comment:
    Average value: 0.05-0.1 m/s</t>
      </text>
    </comment>
    <comment ref="B27" authorId="1" shapeId="0" xr:uid="{E2C39E0E-E643-4D72-B51E-2FFF3EC83341}">
      <text>
        <t>[Threaded comment]
Your version of Excel allows you to read this threaded comment; however, any edits to it will get removed if the file is opened in a newer version of Excel. Learn more: https://go.microsoft.com/fwlink/?linkid=870924
Comment:
    Assuming for now the same cross section of the other canal</t>
      </text>
    </comment>
    <comment ref="H47" authorId="2" shapeId="0" xr:uid="{6C2FB434-CF2B-4BBD-A130-080CFC54352A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S47" authorId="3" shapeId="0" xr:uid="{EC96C32C-B5F9-4819-8D6A-BA000EE76CCF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H48" authorId="4" shapeId="0" xr:uid="{CBA26D95-78EC-4708-A054-C6DD261E9E22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S48" authorId="5" shapeId="0" xr:uid="{9C3588A1-B6B7-467E-B562-AC0EFBCE2766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H62" authorId="6" shapeId="0" xr:uid="{861BB0B7-949B-4321-99CE-180DC515214A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S62" authorId="7" shapeId="0" xr:uid="{3356BA23-ACBA-45C5-8946-1F9B7DF9A909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H69" authorId="8" shapeId="0" xr:uid="{1CF61F17-18B1-4431-A043-D4D301471233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S69" authorId="9" shapeId="0" xr:uid="{8BF16546-C151-442B-9578-759CADC05021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H70" authorId="10" shapeId="0" xr:uid="{1DB867C6-0221-48E1-A691-7E4F3022C14B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S70" authorId="11" shapeId="0" xr:uid="{B4BD60D9-DE10-4482-AB58-BDE68BA4E770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H84" authorId="12" shapeId="0" xr:uid="{1293D445-3F9B-478B-BCF1-EBA1190D0C66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S84" authorId="13" shapeId="0" xr:uid="{5A362508-AE9E-41EF-A49C-E6C7B81C50F7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tc={373104A5-3542-4D91-BE3F-62F220894F6D}</author>
    <author>tc={0E9A8562-8E7E-4961-8A9D-328E4D700C0C}</author>
    <author>tc={84E95EA0-FB35-46D3-91D5-34A3A9CC63DD}</author>
    <author>tc={AA1E65BE-A32F-4F72-8DEE-E854242EB664}</author>
    <author>tc={E49CBF63-F2B3-4925-BCDA-1E04BDD6D81B}</author>
    <author>tc={7E6F7A89-171A-4096-8657-EA18F1222C5E}</author>
    <author>tc={B1135172-3470-4269-96E3-E97BFABF68B0}</author>
    <author>tc={C1799310-4E94-426B-AD1B-278D3890DB8E}</author>
    <author>tc={EA2FAD70-A2C2-4E3D-B650-4F5A7198E1D8}</author>
    <author>tc={0499856F-8631-42B8-AA60-95E41A939E4C}</author>
    <author>tc={A76854A6-4377-4999-AE25-7E29CE17E978}</author>
    <author>tc={6C4CE13E-F24B-435F-A37D-C39978031A3A}</author>
    <author>tc={65005B89-4ED4-44AF-9CB0-DCA4B284E790}</author>
    <author>tc={CEDDC3F7-F083-46B4-8637-AB2457111151}</author>
    <author>tc={A823527E-07EA-4FE6-B8AD-4D3842CB3193}</author>
    <author>tc={554F6557-31FC-4A28-901D-7DE6E33F6006}</author>
    <author>tc={B1D313AA-96C1-4C8F-B528-30DD85DB943B}</author>
    <author>tc={190D2690-7A4F-4BE1-8F23-176252A585F3}</author>
    <author>tc={A4544586-0459-41E8-BBC9-C54E1D87F255}</author>
    <author>tc={36009D90-CA34-44C6-946A-603F34DC0629}</author>
    <author>tc={676BC9D1-6D98-48C7-BD2B-DEBEAF85E928}</author>
    <author>tc={082AA738-893E-4288-8C86-432BA0ACB449}</author>
    <author>tc={CAC970B8-0E06-4430-A5FC-555DCA4CB4E9}</author>
    <author>tc={623AAFA2-0774-413B-81CC-C0C3498B81B4}</author>
    <author>tc={A2710394-8382-420F-9065-F6CE37ABA10B}</author>
    <author>tc={AA59406D-CEA5-4D82-816C-C62C6E0EC890}</author>
    <author>tc={B1C46A3A-D913-4FEF-A31B-19D90D25D9A3}</author>
    <author>tc={C02FD1B6-C69B-447C-B5D7-CA706D4612C1}</author>
    <author>tc={745ADEC5-D372-4C92-8465-99DEE85A9E7B}</author>
    <author>tc={8D9CDD87-67B2-430B-BA26-E468856A0846}</author>
    <author>tc={E2C21BDE-DE2B-464F-83BD-329226DDC74A}</author>
    <author>tc={095036B1-BE3D-42AD-8E00-FA9C8669B7F7}</author>
  </authors>
  <commentList>
    <comment ref="O1" authorId="0" shapeId="0" xr:uid="{373104A5-3542-4D91-BE3F-62F220894F6D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4" authorId="1" shapeId="0" xr:uid="{0E9A8562-8E7E-4961-8A9D-328E4D700C0C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5" authorId="2" shapeId="0" xr:uid="{84E95EA0-FB35-46D3-91D5-34A3A9CC63DD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19" authorId="3" shapeId="0" xr:uid="{AA1E65BE-A32F-4F72-8DEE-E854242EB664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O21" authorId="4" shapeId="0" xr:uid="{E49CBF63-F2B3-4925-BCDA-1E04BDD6D81B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24" authorId="5" shapeId="0" xr:uid="{7E6F7A89-171A-4096-8657-EA18F1222C5E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25" authorId="6" shapeId="0" xr:uid="{B1135172-3470-4269-96E3-E97BFABF68B0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39" authorId="7" shapeId="0" xr:uid="{C1799310-4E94-426B-AD1B-278D3890DB8E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O41" authorId="8" shapeId="0" xr:uid="{EA2FAD70-A2C2-4E3D-B650-4F5A7198E1D8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44" authorId="9" shapeId="0" xr:uid="{0499856F-8631-42B8-AA60-95E41A939E4C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45" authorId="10" shapeId="0" xr:uid="{A76854A6-4377-4999-AE25-7E29CE17E978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59" authorId="11" shapeId="0" xr:uid="{6C4CE13E-F24B-435F-A37D-C39978031A3A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O61" authorId="12" shapeId="0" xr:uid="{65005B89-4ED4-44AF-9CB0-DCA4B284E790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64" authorId="13" shapeId="0" xr:uid="{CEDDC3F7-F083-46B4-8637-AB2457111151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65" authorId="14" shapeId="0" xr:uid="{A823527E-07EA-4FE6-B8AD-4D3842CB3193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79" authorId="15" shapeId="0" xr:uid="{554F6557-31FC-4A28-901D-7DE6E33F6006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O81" authorId="16" shapeId="0" xr:uid="{B1D313AA-96C1-4C8F-B528-30DD85DB943B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84" authorId="17" shapeId="0" xr:uid="{190D2690-7A4F-4BE1-8F23-176252A585F3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85" authorId="18" shapeId="0" xr:uid="{A4544586-0459-41E8-BBC9-C54E1D87F255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99" authorId="19" shapeId="0" xr:uid="{36009D90-CA34-44C6-946A-603F34DC0629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O101" authorId="20" shapeId="0" xr:uid="{676BC9D1-6D98-48C7-BD2B-DEBEAF85E928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104" authorId="21" shapeId="0" xr:uid="{082AA738-893E-4288-8C86-432BA0ACB449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105" authorId="22" shapeId="0" xr:uid="{CAC970B8-0E06-4430-A5FC-555DCA4CB4E9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119" authorId="23" shapeId="0" xr:uid="{623AAFA2-0774-413B-81CC-C0C3498B81B4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O121" authorId="24" shapeId="0" xr:uid="{A2710394-8382-420F-9065-F6CE37ABA10B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124" authorId="25" shapeId="0" xr:uid="{AA59406D-CEA5-4D82-816C-C62C6E0EC890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125" authorId="26" shapeId="0" xr:uid="{B1C46A3A-D913-4FEF-A31B-19D90D25D9A3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139" authorId="27" shapeId="0" xr:uid="{C02FD1B6-C69B-447C-B5D7-CA706D4612C1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O141" authorId="28" shapeId="0" xr:uid="{745ADEC5-D372-4C92-8465-99DEE85A9E7B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144" authorId="29" shapeId="0" xr:uid="{8D9CDD87-67B2-430B-BA26-E468856A0846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145" authorId="30" shapeId="0" xr:uid="{E2C21BDE-DE2B-464F-83BD-329226DDC74A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159" authorId="31" shapeId="0" xr:uid="{095036B1-BE3D-42AD-8E00-FA9C8669B7F7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tc={78C0FF04-97F3-A04B-A8CB-1D429FE205DC}</author>
    <author>tc={8E22AB86-BC26-2849-84E1-88E49B3666D0}</author>
    <author>tc={A5F64CDD-8BE9-4D48-8214-086F7EC2BE90}</author>
    <author>tc={2776AA17-2DDD-407A-9F3A-0AEA16C128CA}</author>
    <author>tc={E2910DA9-77F5-4A34-B15E-3BBBAFCC78DA}</author>
    <author>tc={639413F8-E719-4937-8B7B-42C5EB0BAE19}</author>
    <author>tc={9A7ED070-B5CD-4497-9F2A-18A2D0ADBCEB}</author>
    <author>tc={8C3CD3EF-151C-40B7-A5CD-1CAB07E91FD2}</author>
    <author>tc={FAAE4341-DF0E-4455-B443-576452CCFE63}</author>
    <author>tc={76F74728-A43D-45CF-AA9E-C8BA03A9037F}</author>
    <author>tc={6054EDD5-4886-4D9E-B3DF-84CDAD0D8FD2}</author>
    <author>tc={5F801923-9D73-4E04-A7CE-718A18C75951}</author>
    <author>tc={62384544-70A3-4D32-A229-8D039D6084C4}</author>
    <author>tc={3EE37597-54D3-495F-97BA-2D76FD1CF29A}</author>
  </authors>
  <commentList>
    <comment ref="B26" authorId="0" shapeId="0" xr:uid="{78C0FF04-97F3-A04B-A8CB-1D429FE205DC}">
      <text>
        <t>[Threaded comment]
Your version of Excel allows you to read this threaded comment; however, any edits to it will get removed if the file is opened in a newer version of Excel. Learn more: https://go.microsoft.com/fwlink/?linkid=870924
Comment:
    Average value: 0.05-0.1 m/s</t>
      </text>
    </comment>
    <comment ref="B27" authorId="1" shapeId="0" xr:uid="{8E22AB86-BC26-2849-84E1-88E49B3666D0}">
      <text>
        <t>[Threaded comment]
Your version of Excel allows you to read this threaded comment; however, any edits to it will get removed if the file is opened in a newer version of Excel. Learn more: https://go.microsoft.com/fwlink/?linkid=870924
Comment:
    Assuming for now the same cross section of the other canal</t>
      </text>
    </comment>
    <comment ref="H47" authorId="2" shapeId="0" xr:uid="{A5F64CDD-8BE9-4D48-8214-086F7EC2BE90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S47" authorId="3" shapeId="0" xr:uid="{2776AA17-2DDD-407A-9F3A-0AEA16C128CA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H48" authorId="4" shapeId="0" xr:uid="{E2910DA9-77F5-4A34-B15E-3BBBAFCC78DA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S48" authorId="5" shapeId="0" xr:uid="{639413F8-E719-4937-8B7B-42C5EB0BAE19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H62" authorId="6" shapeId="0" xr:uid="{9A7ED070-B5CD-4497-9F2A-18A2D0ADBCEB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S62" authorId="7" shapeId="0" xr:uid="{8C3CD3EF-151C-40B7-A5CD-1CAB07E91FD2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H69" authorId="8" shapeId="0" xr:uid="{FAAE4341-DF0E-4455-B443-576452CCFE63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S69" authorId="9" shapeId="0" xr:uid="{76F74728-A43D-45CF-AA9E-C8BA03A9037F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H70" authorId="10" shapeId="0" xr:uid="{6054EDD5-4886-4D9E-B3DF-84CDAD0D8FD2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S70" authorId="11" shapeId="0" xr:uid="{5F801923-9D73-4E04-A7CE-718A18C75951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H84" authorId="12" shapeId="0" xr:uid="{62384544-70A3-4D32-A229-8D039D6084C4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S84" authorId="13" shapeId="0" xr:uid="{3EE37597-54D3-495F-97BA-2D76FD1CF29A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tc={D3D84598-3137-4757-A8A9-17B59BEB376B}</author>
    <author>tc={0824B2D5-9D50-4067-A736-4DCF214B7466}</author>
    <author>tc={60E57A67-3C18-4522-8C90-6FC646DF2750}</author>
    <author>tc={2E23A8AF-6A78-4EDA-953D-093CF634BE76}</author>
    <author>tc={B31CB291-53F9-4715-81FB-314A8F6C6973}</author>
    <author>tc={9404DF30-17D2-41FF-B647-67F45DBAF5F2}</author>
    <author>tc={3742E9F6-961B-4D44-94ED-B971215869D4}</author>
    <author>tc={5BF4FEEA-0BE6-4C78-8D68-D4C8C1DB129C}</author>
    <author>tc={1627B8C3-DC7E-4EAA-AC72-ED45775B0DA5}</author>
    <author>tc={B64B9174-4EC9-434F-A6BF-48EB0A8254E6}</author>
    <author>tc={189C0E88-A456-4F28-8FB0-05447F756461}</author>
    <author>tc={E664F5D1-B12F-44BB-9F5B-C43962468503}</author>
    <author>tc={FCE7EE7F-1D56-4991-A565-8488B0C69C61}</author>
    <author>tc={9C85CBB0-5DF5-4354-9B8F-87F0F28F06E2}</author>
    <author>tc={A35CBD48-C10A-4AE4-BD60-B9C8EEE9387D}</author>
    <author>tc={085A358C-91FF-43A7-90FB-B6DB8C18EE3D}</author>
    <author>tc={0C83B56F-93D1-4930-A45A-3C513D00FD81}</author>
    <author>tc={499CB0DE-B5AB-4E47-A433-D20AC2FD64A9}</author>
    <author>tc={A09E0891-A945-4958-B058-2F144055BA71}</author>
    <author>tc={5FDBB4AB-4494-4018-8499-E93B23EA19A3}</author>
    <author>tc={C723C9D1-7A03-48DA-B688-3F6ED257F9BA}</author>
    <author>tc={C6F0A1B1-CB38-4F95-9C64-0AEE94CD23D3}</author>
    <author>tc={BBF21E3A-876B-49B2-8909-56FE7B094A1D}</author>
    <author>tc={E7210635-D6B7-4503-B059-B292367503C6}</author>
    <author>tc={ACC59A13-4EDF-4742-8EB0-DE19B1949EB8}</author>
    <author>tc={DA91CAAE-5657-45DB-8E0C-7EAB10B7CA30}</author>
    <author>tc={7B64A171-9C98-40A3-8448-F9433E95AA14}</author>
    <author>tc={918F1377-D6AC-48E5-8D0D-C0C70FCE0030}</author>
    <author>tc={C461B198-49A7-46E7-9BE2-A79DDA041D57}</author>
    <author>tc={50D58762-A877-4B97-8D9F-0DD79B8FE943}</author>
    <author>tc={C16DAE0A-F398-4B90-9A7E-DECF071FBA2F}</author>
    <author>tc={A343D374-A28A-454D-826D-04C453330B92}</author>
    <author>tc={A1501B61-1FF3-4517-956E-9BA01E1B35F1}</author>
    <author>tc={B8D9BE51-6E96-4842-84AE-F29A4A785392}</author>
    <author>tc={BDC84CEE-D31A-4032-87E5-41180EB472CF}</author>
    <author>tc={97465E16-439F-431B-9289-9289C78990B9}</author>
  </authors>
  <commentList>
    <comment ref="O1" authorId="0" shapeId="0" xr:uid="{D3D84598-3137-4757-A8A9-17B59BEB376B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4" authorId="1" shapeId="0" xr:uid="{0824B2D5-9D50-4067-A736-4DCF214B7466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5" authorId="2" shapeId="0" xr:uid="{60E57A67-3C18-4522-8C90-6FC646DF2750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19" authorId="3" shapeId="0" xr:uid="{2E23A8AF-6A78-4EDA-953D-093CF634BE76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O21" authorId="4" shapeId="0" xr:uid="{B31CB291-53F9-4715-81FB-314A8F6C6973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24" authorId="5" shapeId="0" xr:uid="{9404DF30-17D2-41FF-B647-67F45DBAF5F2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25" authorId="6" shapeId="0" xr:uid="{3742E9F6-961B-4D44-94ED-B971215869D4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39" authorId="7" shapeId="0" xr:uid="{5BF4FEEA-0BE6-4C78-8D68-D4C8C1DB129C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O41" authorId="8" shapeId="0" xr:uid="{1627B8C3-DC7E-4EAA-AC72-ED45775B0DA5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44" authorId="9" shapeId="0" xr:uid="{B64B9174-4EC9-434F-A6BF-48EB0A8254E6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45" authorId="10" shapeId="0" xr:uid="{189C0E88-A456-4F28-8FB0-05447F756461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59" authorId="11" shapeId="0" xr:uid="{E664F5D1-B12F-44BB-9F5B-C43962468503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O61" authorId="12" shapeId="0" xr:uid="{FCE7EE7F-1D56-4991-A565-8488B0C69C61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64" authorId="13" shapeId="0" xr:uid="{9C85CBB0-5DF5-4354-9B8F-87F0F28F06E2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65" authorId="14" shapeId="0" xr:uid="{A35CBD48-C10A-4AE4-BD60-B9C8EEE9387D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79" authorId="15" shapeId="0" xr:uid="{085A358C-91FF-43A7-90FB-B6DB8C18EE3D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O81" authorId="16" shapeId="0" xr:uid="{0C83B56F-93D1-4930-A45A-3C513D00FD81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84" authorId="17" shapeId="0" xr:uid="{499CB0DE-B5AB-4E47-A433-D20AC2FD64A9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85" authorId="18" shapeId="0" xr:uid="{A09E0891-A945-4958-B058-2F144055BA71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99" authorId="19" shapeId="0" xr:uid="{5FDBB4AB-4494-4018-8499-E93B23EA19A3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O101" authorId="20" shapeId="0" xr:uid="{C723C9D1-7A03-48DA-B688-3F6ED257F9BA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104" authorId="21" shapeId="0" xr:uid="{C6F0A1B1-CB38-4F95-9C64-0AEE94CD23D3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105" authorId="22" shapeId="0" xr:uid="{BBF21E3A-876B-49B2-8909-56FE7B094A1D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119" authorId="23" shapeId="0" xr:uid="{E7210635-D6B7-4503-B059-B292367503C6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O121" authorId="24" shapeId="0" xr:uid="{ACC59A13-4EDF-4742-8EB0-DE19B1949EB8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124" authorId="25" shapeId="0" xr:uid="{DA91CAAE-5657-45DB-8E0C-7EAB10B7CA30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125" authorId="26" shapeId="0" xr:uid="{7B64A171-9C98-40A3-8448-F9433E95AA14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139" authorId="27" shapeId="0" xr:uid="{918F1377-D6AC-48E5-8D0D-C0C70FCE0030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O141" authorId="28" shapeId="0" xr:uid="{C461B198-49A7-46E7-9BE2-A79DDA041D57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144" authorId="29" shapeId="0" xr:uid="{50D58762-A877-4B97-8D9F-0DD79B8FE943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145" authorId="30" shapeId="0" xr:uid="{C16DAE0A-F398-4B90-9A7E-DECF071FBA2F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159" authorId="31" shapeId="0" xr:uid="{A343D374-A28A-454D-826D-04C453330B92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O161" authorId="32" shapeId="0" xr:uid="{A1501B61-1FF3-4517-956E-9BA01E1B35F1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164" authorId="33" shapeId="0" xr:uid="{B8D9BE51-6E96-4842-84AE-F29A4A785392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165" authorId="34" shapeId="0" xr:uid="{BDC84CEE-D31A-4032-87E5-41180EB472CF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179" authorId="35" shapeId="0" xr:uid="{97465E16-439F-431B-9289-9289C78990B9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tc={D974712A-0B86-EE47-BBB6-FB5B40E916C5}</author>
    <author>tc={0D18C3EE-F270-B046-8B89-56BBB7629439}</author>
    <author>tc={384E18FC-9AA0-4FDB-8AAB-FFBAAB1DFDB4}</author>
    <author>tc={32434794-5A11-4843-8323-919756ADE161}</author>
    <author>tc={DA5BC664-F004-46E5-8256-14C888FEA0C4}</author>
    <author>tc={7954B3A0-C9A7-4A5B-B243-24EF42EADFE4}</author>
    <author>tc={A55CBCBA-E92E-4AD6-9DB9-BD77638A5A34}</author>
    <author>tc={F1B227DE-0B26-414C-A402-434B4318A691}</author>
    <author>tc={A616DA47-E197-478B-B8D8-B7EFA4732AC6}</author>
    <author>tc={191E32FF-817E-440E-93AB-91856A8AC2F9}</author>
    <author>tc={1C19123D-EE1F-4ABB-8EB3-C888EF1AE225}</author>
    <author>tc={26BFF214-0F31-4A37-872F-E994579CB79A}</author>
    <author>tc={9BD12319-C066-4120-AF34-C6AF3CC49C74}</author>
    <author>tc={18EFF237-D927-442B-B564-5081E372139E}</author>
  </authors>
  <commentList>
    <comment ref="B26" authorId="0" shapeId="0" xr:uid="{D974712A-0B86-EE47-BBB6-FB5B40E916C5}">
      <text>
        <t>[Threaded comment]
Your version of Excel allows you to read this threaded comment; however, any edits to it will get removed if the file is opened in a newer version of Excel. Learn more: https://go.microsoft.com/fwlink/?linkid=870924
Comment:
    Average value: 0.05-0.1 m/s</t>
      </text>
    </comment>
    <comment ref="B27" authorId="1" shapeId="0" xr:uid="{0D18C3EE-F270-B046-8B89-56BBB7629439}">
      <text>
        <t>[Threaded comment]
Your version of Excel allows you to read this threaded comment; however, any edits to it will get removed if the file is opened in a newer version of Excel. Learn more: https://go.microsoft.com/fwlink/?linkid=870924
Comment:
    Assuming for now the same cross section of the other canal</t>
      </text>
    </comment>
    <comment ref="H47" authorId="2" shapeId="0" xr:uid="{384E18FC-9AA0-4FDB-8AAB-FFBAAB1DFDB4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S47" authorId="3" shapeId="0" xr:uid="{32434794-5A11-4843-8323-919756ADE161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H48" authorId="4" shapeId="0" xr:uid="{DA5BC664-F004-46E5-8256-14C888FEA0C4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S48" authorId="5" shapeId="0" xr:uid="{7954B3A0-C9A7-4A5B-B243-24EF42EADFE4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H62" authorId="6" shapeId="0" xr:uid="{A55CBCBA-E92E-4AD6-9DB9-BD77638A5A34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S62" authorId="7" shapeId="0" xr:uid="{F1B227DE-0B26-414C-A402-434B4318A691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H69" authorId="8" shapeId="0" xr:uid="{A616DA47-E197-478B-B8D8-B7EFA4732AC6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S69" authorId="9" shapeId="0" xr:uid="{191E32FF-817E-440E-93AB-91856A8AC2F9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H70" authorId="10" shapeId="0" xr:uid="{1C19123D-EE1F-4ABB-8EB3-C888EF1AE225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S70" authorId="11" shapeId="0" xr:uid="{26BFF214-0F31-4A37-872F-E994579CB79A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H84" authorId="12" shapeId="0" xr:uid="{9BD12319-C066-4120-AF34-C6AF3CC49C74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S84" authorId="13" shapeId="0" xr:uid="{18EFF237-D927-442B-B564-5081E372139E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tc={9A7B042B-801A-4915-BB66-4049BB8193BD}</author>
    <author>tc={6E7194EF-0335-4AA9-B247-7203B36593E4}</author>
    <author>tc={7D47B0BB-9DA8-4A61-AA41-F4C4460AB5E2}</author>
    <author>tc={2ACCF2E3-152A-4AE3-9E89-BB2B69494A6B}</author>
    <author>tc={6FFDB991-690C-4BB4-80A7-02573C3B60DE}</author>
    <author>tc={28C45485-74D4-474C-8857-1BF5FAC52CF0}</author>
    <author>tc={DDEE5F8E-DF41-4E9A-AAF6-99F39ECE0036}</author>
    <author>tc={7A63E446-B3D6-4AC0-930D-9C876E3A3B5A}</author>
    <author>tc={542D6619-6F8F-47DC-BCB5-1FEDDEC4BB16}</author>
    <author>tc={1020A7A7-654C-4047-8517-5642D2843A0D}</author>
    <author>tc={3028DCA0-304F-4464-B468-355B3B586382}</author>
    <author>tc={E6C67149-0209-4349-B9A8-E0A700CAE704}</author>
    <author>tc={82B44747-C433-4594-8C29-0499017E88C0}</author>
    <author>tc={DAF6E3FA-50B7-4516-9432-DCF0930F0FA9}</author>
    <author>tc={F3736B68-0BE6-48F6-8623-FB1BEB7E2BE9}</author>
    <author>tc={D28B9AD4-4275-48A1-9ADB-C64196DD4FB1}</author>
    <author>tc={850A8595-6A62-4986-9CB8-CC118D895C05}</author>
    <author>tc={97C29CB6-2803-4E4E-8C52-1B6A14E8C21D}</author>
    <author>tc={AA97EAB0-87ED-420B-BE92-0A206621029B}</author>
    <author>tc={905C652A-E12D-4190-B10C-F34DBC0A1C04}</author>
    <author>tc={4DF28A71-8CA3-45F2-B6D5-E51264E6DDFE}</author>
    <author>tc={A18739D2-92D6-4C2D-BD54-89DDCC355F1F}</author>
    <author>tc={9E6CBCF3-5826-4E30-A2F8-5423C9A9E868}</author>
    <author>tc={D2D09997-12D0-46BE-A575-CF53CF7A77DA}</author>
    <author>tc={19D3FB2D-5A46-4D73-8020-AFCFF377BF65}</author>
    <author>tc={B47A2EBB-CFBF-43D1-8744-41295D80DC13}</author>
    <author>tc={CA2DC794-7A06-43AF-BE44-97CD042EB7D1}</author>
    <author>tc={CC8DB9A3-B2F1-409D-BEB2-A6743C28AB00}</author>
    <author>tc={A2F0E163-EACC-4F69-BF9B-8DBCBD6AEB4C}</author>
    <author>tc={1B687C38-CC07-440E-BA1E-40C9EBCD690F}</author>
    <author>tc={1418127C-F5CE-4148-9C55-A9343CF26C88}</author>
    <author>tc={ACE5FDB2-D0D9-4A32-87C9-2723C81A8DE3}</author>
    <author>tc={2E93B28B-C2DA-415F-9716-86B5A711AA6B}</author>
    <author>tc={20C16DAF-D35B-425F-94BA-9B1EF4AE133A}</author>
    <author>tc={3CA406FD-16CB-4EBD-AC3B-B4021C6D4F60}</author>
    <author>tc={3CC33905-0DE0-4561-9DF8-1ED64E72F7C2}</author>
    <author>tc={A631186C-2617-421B-AD90-76ABEE21671B}</author>
    <author>tc={BB701FCF-A415-425D-9EEB-C6A9FD3AA9A2}</author>
    <author>tc={374FF3B3-A2E9-4403-9EF6-27B722C4A493}</author>
    <author>tc={85F14B26-3C38-4074-8F21-79AC5526EF7F}</author>
    <author>tc={8D1E115A-BA3F-4E7E-9163-D9908D9ED05B}</author>
    <author>tc={E7CCDEC2-7446-4903-991A-1BC5F1BAD9AE}</author>
    <author>tc={A600ED99-B9C9-413D-B2BA-4523CD56E760}</author>
    <author>tc={D3D3100D-DC64-4E13-953E-7733E1E8F761}</author>
  </authors>
  <commentList>
    <comment ref="O1" authorId="0" shapeId="0" xr:uid="{9A7B042B-801A-4915-BB66-4049BB8193BD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4" authorId="1" shapeId="0" xr:uid="{6E7194EF-0335-4AA9-B247-7203B36593E4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5" authorId="2" shapeId="0" xr:uid="{7D47B0BB-9DA8-4A61-AA41-F4C4460AB5E2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19" authorId="3" shapeId="0" xr:uid="{2ACCF2E3-152A-4AE3-9E89-BB2B69494A6B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O21" authorId="4" shapeId="0" xr:uid="{6FFDB991-690C-4BB4-80A7-02573C3B60DE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24" authorId="5" shapeId="0" xr:uid="{28C45485-74D4-474C-8857-1BF5FAC52CF0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25" authorId="6" shapeId="0" xr:uid="{DDEE5F8E-DF41-4E9A-AAF6-99F39ECE0036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39" authorId="7" shapeId="0" xr:uid="{7A63E446-B3D6-4AC0-930D-9C876E3A3B5A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O41" authorId="8" shapeId="0" xr:uid="{542D6619-6F8F-47DC-BCB5-1FEDDEC4BB16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44" authorId="9" shapeId="0" xr:uid="{1020A7A7-654C-4047-8517-5642D2843A0D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45" authorId="10" shapeId="0" xr:uid="{3028DCA0-304F-4464-B468-355B3B586382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59" authorId="11" shapeId="0" xr:uid="{E6C67149-0209-4349-B9A8-E0A700CAE704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O61" authorId="12" shapeId="0" xr:uid="{82B44747-C433-4594-8C29-0499017E88C0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64" authorId="13" shapeId="0" xr:uid="{DAF6E3FA-50B7-4516-9432-DCF0930F0FA9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65" authorId="14" shapeId="0" xr:uid="{F3736B68-0BE6-48F6-8623-FB1BEB7E2BE9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79" authorId="15" shapeId="0" xr:uid="{D28B9AD4-4275-48A1-9ADB-C64196DD4FB1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O81" authorId="16" shapeId="0" xr:uid="{850A8595-6A62-4986-9CB8-CC118D895C05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84" authorId="17" shapeId="0" xr:uid="{97C29CB6-2803-4E4E-8C52-1B6A14E8C21D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85" authorId="18" shapeId="0" xr:uid="{AA97EAB0-87ED-420B-BE92-0A206621029B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99" authorId="19" shapeId="0" xr:uid="{905C652A-E12D-4190-B10C-F34DBC0A1C04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O101" authorId="20" shapeId="0" xr:uid="{4DF28A71-8CA3-45F2-B6D5-E51264E6DDFE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104" authorId="21" shapeId="0" xr:uid="{A18739D2-92D6-4C2D-BD54-89DDCC355F1F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105" authorId="22" shapeId="0" xr:uid="{9E6CBCF3-5826-4E30-A2F8-5423C9A9E868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119" authorId="23" shapeId="0" xr:uid="{D2D09997-12D0-46BE-A575-CF53CF7A77DA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O121" authorId="24" shapeId="0" xr:uid="{19D3FB2D-5A46-4D73-8020-AFCFF377BF65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124" authorId="25" shapeId="0" xr:uid="{B47A2EBB-CFBF-43D1-8744-41295D80DC13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125" authorId="26" shapeId="0" xr:uid="{CA2DC794-7A06-43AF-BE44-97CD042EB7D1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139" authorId="27" shapeId="0" xr:uid="{CC8DB9A3-B2F1-409D-BEB2-A6743C28AB00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O141" authorId="28" shapeId="0" xr:uid="{A2F0E163-EACC-4F69-BF9B-8DBCBD6AEB4C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144" authorId="29" shapeId="0" xr:uid="{1B687C38-CC07-440E-BA1E-40C9EBCD690F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145" authorId="30" shapeId="0" xr:uid="{1418127C-F5CE-4148-9C55-A9343CF26C88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159" authorId="31" shapeId="0" xr:uid="{ACE5FDB2-D0D9-4A32-87C9-2723C81A8DE3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O161" authorId="32" shapeId="0" xr:uid="{2E93B28B-C2DA-415F-9716-86B5A711AA6B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164" authorId="33" shapeId="0" xr:uid="{20C16DAF-D35B-425F-94BA-9B1EF4AE133A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165" authorId="34" shapeId="0" xr:uid="{3CA406FD-16CB-4EBD-AC3B-B4021C6D4F60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179" authorId="35" shapeId="0" xr:uid="{3CC33905-0DE0-4561-9DF8-1ED64E72F7C2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O181" authorId="36" shapeId="0" xr:uid="{A631186C-2617-421B-AD90-76ABEE21671B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184" authorId="37" shapeId="0" xr:uid="{BB701FCF-A415-425D-9EEB-C6A9FD3AA9A2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185" authorId="38" shapeId="0" xr:uid="{374FF3B3-A2E9-4403-9EF6-27B722C4A493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199" authorId="39" shapeId="0" xr:uid="{85F14B26-3C38-4074-8F21-79AC5526EF7F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O201" authorId="40" shapeId="0" xr:uid="{8D1E115A-BA3F-4E7E-9163-D9908D9ED05B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value between off 1 and off 2 is chosen</t>
      </text>
    </comment>
    <comment ref="N204" authorId="41" shapeId="0" xr:uid="{E7CCDEC2-7446-4903-991A-1BC5F1BAD9AE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N205" authorId="42" shapeId="0" xr:uid="{A600ED99-B9C9-413D-B2BA-4523CD56E760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N219" authorId="43" shapeId="0" xr:uid="{D3D3100D-DC64-4E13-953E-7733E1E8F761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tc={D17BCF6C-B0BA-DC47-B531-8F42587AB9A1}</author>
    <author>tc={451C702F-8CC5-3943-BD94-9D887BA8DC33}</author>
    <author>tc={255B09C1-CD60-40F3-83C8-66CB8237A01E}</author>
    <author>tc={07AA723B-58D1-41CF-8992-8DAD84B6BE65}</author>
    <author>tc={C5DA3A15-33E7-48BE-B184-91CDD388D895}</author>
    <author>tc={6CB0725C-4165-4253-8FE0-79A140E84E17}</author>
    <author>tc={6911E3EA-7FD5-4BF8-B695-4BD9670A6052}</author>
    <author>tc={B2EDF9C5-74A3-4584-8597-E8875247A4DD}</author>
    <author>tc={75EEE416-23D1-417F-B3A5-53614F39208E}</author>
    <author>tc={64F649FC-3264-4773-BA13-2858523BC002}</author>
    <author>tc={76C4CE85-D9F4-4AFE-9896-850F5392C6B3}</author>
    <author>tc={341F59F6-BEBD-4CFE-A1B5-C3ACF0E88EA5}</author>
    <author>tc={8906B153-44D1-4E73-A6B8-CCCB7A702DAD}</author>
    <author>tc={3F754F3F-D1E7-4654-8C16-1AE072D78FDF}</author>
  </authors>
  <commentList>
    <comment ref="B26" authorId="0" shapeId="0" xr:uid="{D17BCF6C-B0BA-DC47-B531-8F42587AB9A1}">
      <text>
        <t>[Threaded comment]
Your version of Excel allows you to read this threaded comment; however, any edits to it will get removed if the file is opened in a newer version of Excel. Learn more: https://go.microsoft.com/fwlink/?linkid=870924
Comment:
    Average value: 0.05-0.1 m/s</t>
      </text>
    </comment>
    <comment ref="B27" authorId="1" shapeId="0" xr:uid="{451C702F-8CC5-3943-BD94-9D887BA8DC33}">
      <text>
        <t>[Threaded comment]
Your version of Excel allows you to read this threaded comment; however, any edits to it will get removed if the file is opened in a newer version of Excel. Learn more: https://go.microsoft.com/fwlink/?linkid=870924
Comment:
    Assuming for now the same cross section of the other canal</t>
      </text>
    </comment>
    <comment ref="H47" authorId="2" shapeId="0" xr:uid="{255B09C1-CD60-40F3-83C8-66CB8237A01E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S47" authorId="3" shapeId="0" xr:uid="{07AA723B-58D1-41CF-8992-8DAD84B6BE65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H48" authorId="4" shapeId="0" xr:uid="{C5DA3A15-33E7-48BE-B184-91CDD388D895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S48" authorId="5" shapeId="0" xr:uid="{6CB0725C-4165-4253-8FE0-79A140E84E17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H62" authorId="6" shapeId="0" xr:uid="{6911E3EA-7FD5-4BF8-B695-4BD9670A6052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S62" authorId="7" shapeId="0" xr:uid="{B2EDF9C5-74A3-4584-8597-E8875247A4DD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H69" authorId="8" shapeId="0" xr:uid="{75EEE416-23D1-417F-B3A5-53614F39208E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S69" authorId="9" shapeId="0" xr:uid="{64F649FC-3264-4773-BA13-2858523BC002}">
      <text>
        <t>[Threaded comment]
Your version of Excel allows you to read this threaded comment; however, any edits to it will get removed if the file is opened in a newer version of Excel. Learn more: https://go.microsoft.com/fwlink/?linkid=870924
Comment:
    Freshwater</t>
      </text>
    </comment>
    <comment ref="H70" authorId="10" shapeId="0" xr:uid="{76C4CE85-D9F4-4AFE-9896-850F5392C6B3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S70" authorId="11" shapeId="0" xr:uid="{341F59F6-BEBD-4CFE-A1B5-C3ACF0E88EA5}">
      <text>
        <t>[Threaded comment]
Your version of Excel allows you to read this threaded comment; however, any edits to it will get removed if the file is opened in a newer version of Excel. Learn more: https://go.microsoft.com/fwlink/?linkid=870924
Comment:
    13.7 mg/L  intermittent release</t>
      </text>
    </comment>
    <comment ref="H84" authorId="12" shapeId="0" xr:uid="{8906B153-44D1-4E73-A6B8-CCCB7A702DAD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  <comment ref="S84" authorId="13" shapeId="0" xr:uid="{3F754F3F-D1E7-4654-8C16-1AE072D78FDF}">
      <text>
        <t>[Threaded comment]
Your version of Excel allows you to read this threaded comment; however, any edits to it will get removed if the file is opened in a newer version of Excel. Learn more: https://go.microsoft.com/fwlink/?linkid=870924
Comment:
    NC = 0.40 ug/L
MPC = 40 ug/L
MAC = 400 ug/L
SRC = 600 ug/L</t>
      </text>
    </comment>
  </commentList>
</comments>
</file>

<file path=xl/sharedStrings.xml><?xml version="1.0" encoding="utf-8"?>
<sst xmlns="http://schemas.openxmlformats.org/spreadsheetml/2006/main" count="2284" uniqueCount="176">
  <si>
    <t>FA</t>
  </si>
  <si>
    <t>Styrene</t>
  </si>
  <si>
    <t>As</t>
  </si>
  <si>
    <t>Pb</t>
  </si>
  <si>
    <t>Ni</t>
  </si>
  <si>
    <t>Cr</t>
  </si>
  <si>
    <t>Cd</t>
  </si>
  <si>
    <t>m</t>
  </si>
  <si>
    <t>wide ditch</t>
  </si>
  <si>
    <t>Zn</t>
  </si>
  <si>
    <t>V</t>
  </si>
  <si>
    <t>Sn</t>
  </si>
  <si>
    <t>m3/s</t>
  </si>
  <si>
    <t>Mo</t>
  </si>
  <si>
    <t>Mn</t>
  </si>
  <si>
    <t>m/s</t>
  </si>
  <si>
    <t>Li</t>
  </si>
  <si>
    <t>Cu</t>
  </si>
  <si>
    <t>Co</t>
  </si>
  <si>
    <t>L/h</t>
  </si>
  <si>
    <t>B</t>
  </si>
  <si>
    <t>m3/min</t>
  </si>
  <si>
    <t>Ba</t>
  </si>
  <si>
    <t>Hg</t>
  </si>
  <si>
    <t>winter</t>
  </si>
  <si>
    <t>summer</t>
  </si>
  <si>
    <t>ug/L</t>
  </si>
  <si>
    <t>PEC/PNEC</t>
  </si>
  <si>
    <t>PNEC w</t>
  </si>
  <si>
    <t>Leaching (Day1)</t>
  </si>
  <si>
    <t>Chemicals</t>
  </si>
  <si>
    <t>main watercourse</t>
  </si>
  <si>
    <t>small canal</t>
  </si>
  <si>
    <t>m3</t>
  </si>
  <si>
    <t>m2</t>
  </si>
  <si>
    <t>v_main_water</t>
  </si>
  <si>
    <t>v</t>
  </si>
  <si>
    <t>L_control</t>
  </si>
  <si>
    <t>mg/m3</t>
  </si>
  <si>
    <t>mg-day</t>
  </si>
  <si>
    <t>mg per day</t>
  </si>
  <si>
    <t>C2 winter  (1 day)</t>
  </si>
  <si>
    <t>C2_summer (1 day)</t>
  </si>
  <si>
    <t>mass released winter</t>
  </si>
  <si>
    <t>mass released summer</t>
  </si>
  <si>
    <t xml:space="preserve">m </t>
  </si>
  <si>
    <t>Stagnant case (Q=0): Diffusion model. Hypothesis: instantaneous mixing</t>
  </si>
  <si>
    <t>kg/m3</t>
  </si>
  <si>
    <t>ro_M4</t>
  </si>
  <si>
    <t>ro_M3</t>
  </si>
  <si>
    <t>L</t>
  </si>
  <si>
    <t>Vol_leac</t>
  </si>
  <si>
    <t>ro_M2</t>
  </si>
  <si>
    <t>m3/h</t>
  </si>
  <si>
    <t>Ql</t>
  </si>
  <si>
    <t>ro_M1</t>
  </si>
  <si>
    <t>mL/h</t>
  </si>
  <si>
    <t>qL</t>
  </si>
  <si>
    <t>Kg</t>
  </si>
  <si>
    <t>m_sub_winter</t>
  </si>
  <si>
    <t>delta</t>
  </si>
  <si>
    <t>m_sub_summer</t>
  </si>
  <si>
    <t>H_winter</t>
  </si>
  <si>
    <t>m_leach</t>
  </si>
  <si>
    <t>H_summer</t>
  </si>
  <si>
    <t>N8010</t>
  </si>
  <si>
    <t>M1</t>
  </si>
  <si>
    <t>Material</t>
  </si>
  <si>
    <t>H_biocomposite</t>
  </si>
  <si>
    <t>Input data biocomposites</t>
  </si>
  <si>
    <t>Atot_summer</t>
  </si>
  <si>
    <t>Atot_winter</t>
  </si>
  <si>
    <t>Vol_water_summer</t>
  </si>
  <si>
    <t>Vol_water_winter</t>
  </si>
  <si>
    <t>v(wd)_input</t>
  </si>
  <si>
    <t>Qmin_input</t>
  </si>
  <si>
    <t>Qmin_input(l/h)</t>
  </si>
  <si>
    <t>l/h</t>
  </si>
  <si>
    <t>b2_wd</t>
  </si>
  <si>
    <t>b1_wd</t>
  </si>
  <si>
    <t>Atot_winter_main</t>
  </si>
  <si>
    <t>Vol_M_water_summer</t>
  </si>
  <si>
    <t>Vol_M_water_winter</t>
  </si>
  <si>
    <t>Atot_summer_main</t>
  </si>
  <si>
    <t>q_main_winter</t>
  </si>
  <si>
    <t>Q_main_summer</t>
  </si>
  <si>
    <t>v_main_m3/min</t>
  </si>
  <si>
    <t>Q_main_s_m3/min</t>
  </si>
  <si>
    <t>Q_main_w_m3/min</t>
  </si>
  <si>
    <t>m/h</t>
  </si>
  <si>
    <t>Q_wd_winter</t>
  </si>
  <si>
    <t>Q(wd)_summer</t>
  </si>
  <si>
    <t>Q(wd)_summer_m3/h</t>
  </si>
  <si>
    <t>Qmin_input_m3/h</t>
  </si>
  <si>
    <t>Q(wd)_winter_m3/h</t>
  </si>
  <si>
    <t>Input data canal - geometry based on water level</t>
  </si>
  <si>
    <t>Input data canal - kinetics based on water level</t>
  </si>
  <si>
    <t>primary watercourse</t>
  </si>
  <si>
    <t>Input leaching tests conditions</t>
  </si>
  <si>
    <r>
      <rPr>
        <b/>
        <sz val="10"/>
        <color rgb="FF1A2A49"/>
        <rFont val="Calibri"/>
        <family val="2"/>
        <scheme val="minor"/>
      </rPr>
      <t>Element</t>
    </r>
  </si>
  <si>
    <t>Original amount in 300 gr of material</t>
  </si>
  <si>
    <t xml:space="preserve">measurement LOD </t>
  </si>
  <si>
    <r>
      <rPr>
        <b/>
        <sz val="10"/>
        <color rgb="FF1A2A49"/>
        <rFont val="Trebuchet MS"/>
        <family val="2"/>
      </rPr>
      <t>10-13-1</t>
    </r>
  </si>
  <si>
    <t>10-13-2</t>
  </si>
  <si>
    <t>PNEC(water)</t>
  </si>
  <si>
    <t>Risk (day 1)</t>
  </si>
  <si>
    <t>Risk (day 2)</t>
  </si>
  <si>
    <t>Risk (day 6)</t>
  </si>
  <si>
    <t>Risk (day 13)</t>
  </si>
  <si>
    <t>Threhsold</t>
  </si>
  <si>
    <t>ug/l</t>
  </si>
  <si>
    <t>mg</t>
  </si>
  <si>
    <t>µg</t>
  </si>
  <si>
    <t xml:space="preserve"> (µg/L)</t>
  </si>
  <si>
    <r>
      <rPr>
        <sz val="10"/>
        <color rgb="FF1A2A49"/>
        <rFont val="Calibri"/>
        <family val="2"/>
        <scheme val="minor"/>
      </rPr>
      <t>Hg</t>
    </r>
  </si>
  <si>
    <r>
      <rPr>
        <sz val="10"/>
        <color rgb="FF1A2A49"/>
        <rFont val="Calibri"/>
        <family val="2"/>
        <scheme val="minor"/>
      </rPr>
      <t>Ba</t>
    </r>
  </si>
  <si>
    <r>
      <rPr>
        <sz val="10"/>
        <color rgb="FF1A2A49"/>
        <rFont val="Calibri"/>
        <family val="2"/>
        <scheme val="minor"/>
      </rPr>
      <t>B</t>
    </r>
  </si>
  <si>
    <r>
      <rPr>
        <sz val="10"/>
        <color rgb="FF1A2A49"/>
        <rFont val="Calibri"/>
        <family val="2"/>
        <scheme val="minor"/>
      </rPr>
      <t>Co</t>
    </r>
  </si>
  <si>
    <r>
      <rPr>
        <sz val="10"/>
        <color rgb="FF1A2A49"/>
        <rFont val="Calibri"/>
        <family val="2"/>
        <scheme val="minor"/>
      </rPr>
      <t>Cu</t>
    </r>
  </si>
  <si>
    <r>
      <rPr>
        <sz val="10"/>
        <color rgb="FF1A2A49"/>
        <rFont val="Calibri"/>
        <family val="2"/>
        <scheme val="minor"/>
      </rPr>
      <t>Mn</t>
    </r>
  </si>
  <si>
    <r>
      <rPr>
        <sz val="10"/>
        <color rgb="FF1A2A49"/>
        <rFont val="Calibri"/>
        <family val="2"/>
        <scheme val="minor"/>
      </rPr>
      <t>Mo</t>
    </r>
  </si>
  <si>
    <r>
      <rPr>
        <sz val="10"/>
        <color rgb="FF1A2A49"/>
        <rFont val="Calibri"/>
        <family val="2"/>
        <scheme val="minor"/>
      </rPr>
      <t>V</t>
    </r>
  </si>
  <si>
    <r>
      <rPr>
        <sz val="10"/>
        <color rgb="FF1A2A49"/>
        <rFont val="Calibri"/>
        <family val="2"/>
        <scheme val="minor"/>
      </rPr>
      <t>Zn</t>
    </r>
  </si>
  <si>
    <r>
      <rPr>
        <sz val="10"/>
        <color rgb="FF1A2A49"/>
        <rFont val="Calibri"/>
        <family val="2"/>
        <scheme val="minor"/>
      </rPr>
      <t>Cd</t>
    </r>
  </si>
  <si>
    <r>
      <rPr>
        <sz val="10"/>
        <color rgb="FF1A2A49"/>
        <rFont val="Calibri"/>
        <family val="2"/>
        <scheme val="minor"/>
      </rPr>
      <t>Cr</t>
    </r>
  </si>
  <si>
    <r>
      <rPr>
        <sz val="10"/>
        <color rgb="FF1A2A49"/>
        <rFont val="Calibri"/>
        <family val="2"/>
        <scheme val="minor"/>
      </rPr>
      <t>Ni</t>
    </r>
  </si>
  <si>
    <r>
      <rPr>
        <sz val="10"/>
        <color rgb="FF1A2A49"/>
        <rFont val="Calibri"/>
        <family val="2"/>
        <scheme val="minor"/>
      </rPr>
      <t>Pb</t>
    </r>
  </si>
  <si>
    <r>
      <rPr>
        <sz val="10"/>
        <color rgb="FF1A2A49"/>
        <rFont val="Calibri"/>
        <family val="2"/>
        <scheme val="minor"/>
      </rPr>
      <t>As</t>
    </r>
  </si>
  <si>
    <t xml:space="preserve">dilution (x) </t>
  </si>
  <si>
    <t>mg/kg</t>
  </si>
  <si>
    <t>Styrene_leach</t>
  </si>
  <si>
    <t>ro_w</t>
  </si>
  <si>
    <t>C8H8 in 0.3 kg</t>
  </si>
  <si>
    <t>mg/0.3 kg</t>
  </si>
  <si>
    <t>ro_N8010</t>
  </si>
  <si>
    <t>C8H8 leach</t>
  </si>
  <si>
    <t>mg/L</t>
  </si>
  <si>
    <t>C8H8 eq. in 8010</t>
  </si>
  <si>
    <t>mg/0.3kg</t>
  </si>
  <si>
    <t>%leaching</t>
  </si>
  <si>
    <t>F_wd_summer</t>
  </si>
  <si>
    <t>F_wd_winter</t>
  </si>
  <si>
    <t>Advective case: Diffusion model. Hypothesis: instantaneous mixing</t>
  </si>
  <si>
    <t>12-1-1</t>
  </si>
  <si>
    <t>12-1-2</t>
  </si>
  <si>
    <t>12-2-1</t>
  </si>
  <si>
    <t>12-2-2</t>
  </si>
  <si>
    <t>12-6-1</t>
  </si>
  <si>
    <t>12-6-2</t>
  </si>
  <si>
    <t>12-13-1</t>
  </si>
  <si>
    <t>12-13-2</t>
  </si>
  <si>
    <t>g/L</t>
  </si>
  <si>
    <t>C8H8</t>
  </si>
  <si>
    <t>%</t>
  </si>
  <si>
    <t>20-1-1</t>
  </si>
  <si>
    <t>20-1-2</t>
  </si>
  <si>
    <t>20-2-1</t>
  </si>
  <si>
    <t>20-2-2</t>
  </si>
  <si>
    <t>20-6-1</t>
  </si>
  <si>
    <t>20-6-2</t>
  </si>
  <si>
    <t>20-13-1</t>
  </si>
  <si>
    <t>20-13-2</t>
  </si>
  <si>
    <t>mg/g</t>
  </si>
  <si>
    <t>FA_resin</t>
  </si>
  <si>
    <t>FA_leach</t>
  </si>
  <si>
    <t>%leacheate</t>
  </si>
  <si>
    <t>ro H2O 20 C</t>
  </si>
  <si>
    <t>C</t>
  </si>
  <si>
    <t>kg</t>
  </si>
  <si>
    <t>L/S</t>
  </si>
  <si>
    <t>day</t>
  </si>
  <si>
    <t>Vol (l)</t>
  </si>
  <si>
    <t>ug/L or mg/m3</t>
  </si>
  <si>
    <t>F_m_summer</t>
  </si>
  <si>
    <t>F_m_winter</t>
  </si>
  <si>
    <t>M1  (day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</si>
</sst>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"/>
    <numFmt numFmtId="165" formatCode="yy\-m\-d;@"/>
    <numFmt numFmtId="166" formatCode="0.0"/>
    <numFmt numFmtId="167" formatCode="0.00000%"/>
    <numFmt numFmtId="168" formatCode="0.0000%"/>
    <numFmt numFmtId="169" formatCode="#,##0.0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1A2A49"/>
      <name val="Calibri"/>
      <family val="2"/>
      <scheme val="minor"/>
    </font>
    <font>
      <b/>
      <sz val="10"/>
      <name val="Trebuchet MS"/>
      <family val="2"/>
    </font>
    <font>
      <b/>
      <sz val="10"/>
      <color rgb="FF1A2A49"/>
      <name val="Trebuchet MS"/>
      <family val="2"/>
    </font>
    <font>
      <b/>
      <sz val="10"/>
      <color rgb="FF000000"/>
      <name val="Times New Roman"/>
      <family val="1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1A2A49"/>
      <name val="Calibri"/>
      <family val="2"/>
      <scheme val="minor"/>
    </font>
    <font>
      <sz val="10"/>
      <name val="Trebuchet MS"/>
      <family val="2"/>
    </font>
    <font>
      <sz val="10"/>
      <color rgb="FF000000"/>
      <name val="Calibri"/>
      <family val="2"/>
      <scheme val="minor"/>
    </font>
    <font>
      <sz val="8"/>
      <name val="Segoe UI"/>
      <family val="2"/>
    </font>
    <font>
      <sz val="10"/>
      <color rgb="FF000000"/>
      <name val="Times New Roman"/>
      <family val="1"/>
    </font>
    <font>
      <sz val="10"/>
      <color theme="8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D9D9D9"/>
      </left>
      <right/>
      <top style="thin">
        <color rgb="FFCCCCCC"/>
      </top>
      <bottom style="thin">
        <color rgb="FFCCCCCC"/>
      </bottom>
      <diagonal/>
    </border>
    <border>
      <left style="thin">
        <color rgb="FFD9D9D9"/>
      </left>
      <right/>
      <top style="thin">
        <color rgb="FFD9D9D9"/>
      </top>
      <bottom style="thin">
        <color rgb="FFCCCCCC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rgb="FFD9D9D9"/>
      </top>
      <bottom style="thin">
        <color rgb="FFCCCCCC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7F7F7F"/>
      </left>
      <right/>
      <top/>
      <bottom/>
      <diagonal/>
    </border>
    <border>
      <left style="thin">
        <color rgb="FF7F7F7F"/>
      </left>
      <right/>
      <top/>
      <bottom style="medium">
        <color indexed="64"/>
      </bottom>
      <diagonal/>
    </border>
    <border>
      <left/>
      <right style="thin">
        <color rgb="FFCCCCCC"/>
      </right>
      <top style="thin">
        <color indexed="64"/>
      </top>
      <bottom/>
      <diagonal/>
    </border>
    <border>
      <left style="thin">
        <color rgb="FFCCCCCC"/>
      </left>
      <right/>
      <top style="thin">
        <color indexed="64"/>
      </top>
      <bottom style="thin">
        <color rgb="FFCCCCCC"/>
      </bottom>
      <diagonal/>
    </border>
    <border>
      <left style="thin">
        <color rgb="FFD9D9D9"/>
      </left>
      <right/>
      <top style="thin">
        <color indexed="64"/>
      </top>
      <bottom/>
      <diagonal/>
    </border>
    <border>
      <left style="thin">
        <color rgb="FFD9D9D9"/>
      </left>
      <right/>
      <top/>
      <bottom style="thin">
        <color indexed="64"/>
      </bottom>
      <diagonal/>
    </border>
    <border>
      <left style="thin">
        <color rgb="FFD9D9D9"/>
      </left>
      <right/>
      <top/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2" borderId="1" applyNumberFormat="0" applyAlignment="0" applyProtection="0"/>
    <xf numFmtId="0" fontId="3" fillId="3" borderId="1" applyNumberFormat="0" applyAlignment="0" applyProtection="0"/>
    <xf numFmtId="0" fontId="4" fillId="4" borderId="2" applyNumberFormat="0" applyAlignment="0" applyProtection="0"/>
    <xf numFmtId="0" fontId="1" fillId="5" borderId="3" applyNumberFormat="0" applyFont="0" applyAlignment="0" applyProtection="0"/>
    <xf numFmtId="0" fontId="1" fillId="6" borderId="0" applyNumberFormat="0" applyBorder="0" applyAlignment="0" applyProtection="0"/>
  </cellStyleXfs>
  <cellXfs count="108">
    <xf numFmtId="0" fontId="0" fillId="0" borderId="0" xfId="0"/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6" fillId="6" borderId="4" xfId="5" applyFont="1" applyBorder="1" applyAlignment="1">
      <alignment horizontal="center" vertical="center" wrapText="1"/>
    </xf>
    <xf numFmtId="11" fontId="7" fillId="0" borderId="0" xfId="0" applyNumberFormat="1" applyFont="1" applyAlignment="1">
      <alignment horizontal="center" vertical="center"/>
    </xf>
    <xf numFmtId="0" fontId="8" fillId="7" borderId="5" xfId="0" applyFont="1" applyFill="1" applyBorder="1" applyAlignment="1">
      <alignment horizontal="center" vertical="center" wrapText="1"/>
    </xf>
    <xf numFmtId="11" fontId="6" fillId="6" borderId="0" xfId="5" applyNumberFormat="1" applyFont="1" applyAlignment="1">
      <alignment horizontal="center" vertical="center"/>
    </xf>
    <xf numFmtId="0" fontId="6" fillId="6" borderId="0" xfId="5" applyFont="1" applyAlignment="1">
      <alignment horizontal="center" vertical="center"/>
    </xf>
    <xf numFmtId="0" fontId="3" fillId="3" borderId="1" xfId="2" applyAlignment="1">
      <alignment horizontal="center" vertical="center"/>
    </xf>
    <xf numFmtId="0" fontId="3" fillId="3" borderId="9" xfId="2" applyBorder="1" applyAlignment="1">
      <alignment horizontal="center" vertical="center"/>
    </xf>
    <xf numFmtId="0" fontId="6" fillId="6" borderId="10" xfId="5" applyFont="1" applyBorder="1" applyAlignment="1">
      <alignment horizontal="center" vertical="center"/>
    </xf>
    <xf numFmtId="0" fontId="6" fillId="6" borderId="11" xfId="5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7" borderId="1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11" fontId="9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6" fillId="7" borderId="0" xfId="0" applyFont="1" applyFill="1" applyAlignment="1">
      <alignment horizontal="center" vertical="center"/>
    </xf>
    <xf numFmtId="0" fontId="10" fillId="7" borderId="15" xfId="0" applyFont="1" applyFill="1" applyBorder="1" applyAlignment="1">
      <alignment horizontal="center" vertical="center" wrapText="1"/>
    </xf>
    <xf numFmtId="0" fontId="12" fillId="7" borderId="14" xfId="0" applyFont="1" applyFill="1" applyBorder="1" applyAlignment="1">
      <alignment horizontal="center" vertical="center" wrapText="1"/>
    </xf>
    <xf numFmtId="165" fontId="13" fillId="7" borderId="28" xfId="0" applyNumberFormat="1" applyFont="1" applyFill="1" applyBorder="1" applyAlignment="1">
      <alignment horizontal="center" vertical="center" shrinkToFit="1"/>
    </xf>
    <xf numFmtId="0" fontId="12" fillId="7" borderId="28" xfId="0" applyFont="1" applyFill="1" applyBorder="1" applyAlignment="1">
      <alignment horizontal="center" vertical="center" wrapText="1"/>
    </xf>
    <xf numFmtId="49" fontId="13" fillId="7" borderId="28" xfId="0" applyNumberFormat="1" applyFont="1" applyFill="1" applyBorder="1" applyAlignment="1">
      <alignment horizontal="center" vertical="center" wrapText="1"/>
    </xf>
    <xf numFmtId="0" fontId="5" fillId="6" borderId="29" xfId="5" applyFont="1" applyBorder="1" applyAlignment="1">
      <alignment horizontal="center" vertical="center" wrapText="1"/>
    </xf>
    <xf numFmtId="2" fontId="14" fillId="7" borderId="14" xfId="0" applyNumberFormat="1" applyFont="1" applyFill="1" applyBorder="1" applyAlignment="1">
      <alignment horizontal="center" vertical="center"/>
    </xf>
    <xf numFmtId="2" fontId="15" fillId="7" borderId="14" xfId="0" applyNumberFormat="1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2" fillId="7" borderId="30" xfId="0" applyFont="1" applyFill="1" applyBorder="1" applyAlignment="1">
      <alignment horizontal="center" vertical="center" wrapText="1"/>
    </xf>
    <xf numFmtId="0" fontId="5" fillId="6" borderId="30" xfId="5" applyFont="1" applyBorder="1" applyAlignment="1">
      <alignment horizontal="center" vertical="center" wrapText="1"/>
    </xf>
    <xf numFmtId="2" fontId="14" fillId="7" borderId="7" xfId="0" applyNumberFormat="1" applyFont="1" applyFill="1" applyBorder="1" applyAlignment="1">
      <alignment horizontal="center" vertical="center"/>
    </xf>
    <xf numFmtId="2" fontId="15" fillId="7" borderId="7" xfId="0" applyNumberFormat="1" applyFont="1" applyFill="1" applyBorder="1" applyAlignment="1">
      <alignment horizontal="center" vertical="center"/>
    </xf>
    <xf numFmtId="0" fontId="8" fillId="7" borderId="31" xfId="0" applyFont="1" applyFill="1" applyBorder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164" fontId="17" fillId="7" borderId="32" xfId="0" applyNumberFormat="1" applyFont="1" applyFill="1" applyBorder="1" applyAlignment="1">
      <alignment horizontal="center" vertical="center" shrinkToFit="1"/>
    </xf>
    <xf numFmtId="2" fontId="6" fillId="7" borderId="0" xfId="0" applyNumberFormat="1" applyFont="1" applyFill="1" applyAlignment="1">
      <alignment horizontal="center" vertical="center"/>
    </xf>
    <xf numFmtId="0" fontId="8" fillId="7" borderId="4" xfId="0" applyFont="1" applyFill="1" applyBorder="1" applyAlignment="1">
      <alignment horizontal="center" vertical="center" wrapText="1"/>
    </xf>
    <xf numFmtId="2" fontId="17" fillId="7" borderId="33" xfId="0" applyNumberFormat="1" applyFont="1" applyFill="1" applyBorder="1" applyAlignment="1">
      <alignment horizontal="center" vertical="center" shrinkToFit="1"/>
    </xf>
    <xf numFmtId="166" fontId="17" fillId="7" borderId="33" xfId="0" applyNumberFormat="1" applyFont="1" applyFill="1" applyBorder="1" applyAlignment="1">
      <alignment horizontal="center" vertical="center" shrinkToFit="1"/>
    </xf>
    <xf numFmtId="0" fontId="8" fillId="7" borderId="33" xfId="0" applyFont="1" applyFill="1" applyBorder="1" applyAlignment="1">
      <alignment horizontal="center" vertical="center" wrapText="1"/>
    </xf>
    <xf numFmtId="0" fontId="18" fillId="7" borderId="34" xfId="0" applyFont="1" applyFill="1" applyBorder="1" applyAlignment="1">
      <alignment horizontal="center" vertical="center" wrapText="1"/>
    </xf>
    <xf numFmtId="1" fontId="17" fillId="7" borderId="33" xfId="0" applyNumberFormat="1" applyFont="1" applyFill="1" applyBorder="1" applyAlignment="1">
      <alignment horizontal="center" vertical="center" shrinkToFit="1"/>
    </xf>
    <xf numFmtId="0" fontId="8" fillId="7" borderId="0" xfId="0" applyFont="1" applyFill="1" applyAlignment="1">
      <alignment horizontal="center" vertical="center" wrapText="1"/>
    </xf>
    <xf numFmtId="0" fontId="19" fillId="7" borderId="0" xfId="0" applyFont="1" applyFill="1" applyAlignment="1">
      <alignment horizontal="center" vertical="center"/>
    </xf>
    <xf numFmtId="2" fontId="14" fillId="7" borderId="36" xfId="0" applyNumberFormat="1" applyFont="1" applyFill="1" applyBorder="1" applyAlignment="1">
      <alignment horizontal="center" vertical="center"/>
    </xf>
    <xf numFmtId="2" fontId="15" fillId="7" borderId="36" xfId="0" applyNumberFormat="1" applyFont="1" applyFill="1" applyBorder="1" applyAlignment="1">
      <alignment horizontal="center" vertical="center"/>
    </xf>
    <xf numFmtId="2" fontId="15" fillId="7" borderId="37" xfId="0" applyNumberFormat="1" applyFont="1" applyFill="1" applyBorder="1" applyAlignment="1">
      <alignment horizontal="center" vertical="center"/>
    </xf>
    <xf numFmtId="0" fontId="6" fillId="9" borderId="35" xfId="0" applyFont="1" applyFill="1" applyBorder="1" applyAlignment="1">
      <alignment horizontal="center" vertical="center"/>
    </xf>
    <xf numFmtId="0" fontId="6" fillId="9" borderId="36" xfId="0" applyFont="1" applyFill="1" applyBorder="1" applyAlignment="1">
      <alignment horizontal="center" vertical="center"/>
    </xf>
    <xf numFmtId="0" fontId="6" fillId="9" borderId="37" xfId="0" applyFont="1" applyFill="1" applyBorder="1" applyAlignment="1">
      <alignment horizontal="center" vertical="center"/>
    </xf>
    <xf numFmtId="0" fontId="16" fillId="7" borderId="0" xfId="0" applyFont="1" applyFill="1" applyAlignment="1">
      <alignment horizontal="center" vertical="center"/>
    </xf>
    <xf numFmtId="0" fontId="15" fillId="7" borderId="0" xfId="0" applyFont="1" applyFill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167" fontId="19" fillId="8" borderId="0" xfId="0" applyNumberFormat="1" applyFont="1" applyFill="1" applyAlignment="1">
      <alignment horizontal="center" vertical="center"/>
    </xf>
    <xf numFmtId="10" fontId="19" fillId="7" borderId="0" xfId="0" applyNumberFormat="1" applyFont="1" applyFill="1" applyAlignment="1">
      <alignment horizontal="center" vertical="center"/>
    </xf>
    <xf numFmtId="10" fontId="20" fillId="0" borderId="0" xfId="0" applyNumberFormat="1" applyFont="1"/>
    <xf numFmtId="0" fontId="5" fillId="6" borderId="10" xfId="5" applyFont="1" applyBorder="1" applyAlignment="1">
      <alignment horizontal="center" vertical="center" wrapText="1"/>
    </xf>
    <xf numFmtId="0" fontId="5" fillId="6" borderId="38" xfId="5" applyFont="1" applyBorder="1" applyAlignment="1">
      <alignment horizontal="center" vertical="center"/>
    </xf>
    <xf numFmtId="0" fontId="6" fillId="10" borderId="35" xfId="0" applyFont="1" applyFill="1" applyBorder="1" applyAlignment="1">
      <alignment horizontal="center" vertical="center"/>
    </xf>
    <xf numFmtId="49" fontId="13" fillId="7" borderId="28" xfId="0" applyNumberFormat="1" applyFont="1" applyFill="1" applyBorder="1" applyAlignment="1">
      <alignment horizontal="center" vertical="center" shrinkToFit="1"/>
    </xf>
    <xf numFmtId="0" fontId="21" fillId="7" borderId="0" xfId="0" applyFont="1" applyFill="1" applyAlignment="1">
      <alignment horizontal="center" vertical="center"/>
    </xf>
    <xf numFmtId="168" fontId="19" fillId="7" borderId="0" xfId="0" applyNumberFormat="1" applyFont="1" applyFill="1" applyAlignment="1">
      <alignment horizontal="center" vertical="center"/>
    </xf>
    <xf numFmtId="0" fontId="6" fillId="11" borderId="36" xfId="0" applyFont="1" applyFill="1" applyBorder="1" applyAlignment="1">
      <alignment horizontal="center" vertical="center"/>
    </xf>
    <xf numFmtId="11" fontId="8" fillId="7" borderId="4" xfId="0" applyNumberFormat="1" applyFont="1" applyFill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top"/>
    </xf>
    <xf numFmtId="0" fontId="22" fillId="0" borderId="23" xfId="0" applyFont="1" applyBorder="1" applyAlignment="1">
      <alignment horizontal="center" vertical="top"/>
    </xf>
    <xf numFmtId="0" fontId="22" fillId="0" borderId="22" xfId="0" applyFont="1" applyBorder="1" applyAlignment="1">
      <alignment horizontal="center" vertical="top"/>
    </xf>
    <xf numFmtId="0" fontId="22" fillId="0" borderId="21" xfId="0" applyFont="1" applyBorder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22" fillId="0" borderId="20" xfId="0" applyFont="1" applyBorder="1" applyAlignment="1">
      <alignment horizontal="center" vertical="top"/>
    </xf>
    <xf numFmtId="169" fontId="22" fillId="0" borderId="0" xfId="0" applyNumberFormat="1" applyFont="1" applyAlignment="1">
      <alignment horizontal="center" vertical="top"/>
    </xf>
    <xf numFmtId="0" fontId="22" fillId="0" borderId="19" xfId="0" applyFont="1" applyBorder="1" applyAlignment="1">
      <alignment horizontal="center" vertical="top"/>
    </xf>
    <xf numFmtId="0" fontId="22" fillId="0" borderId="18" xfId="0" applyFont="1" applyBorder="1" applyAlignment="1">
      <alignment horizontal="center" vertical="top"/>
    </xf>
    <xf numFmtId="0" fontId="22" fillId="0" borderId="17" xfId="0" applyFont="1" applyBorder="1" applyAlignment="1">
      <alignment horizontal="center" vertical="top"/>
    </xf>
    <xf numFmtId="11" fontId="0" fillId="0" borderId="0" xfId="0" applyNumberFormat="1"/>
    <xf numFmtId="2" fontId="0" fillId="0" borderId="0" xfId="0" applyNumberFormat="1"/>
    <xf numFmtId="0" fontId="23" fillId="7" borderId="5" xfId="0" applyFont="1" applyFill="1" applyBorder="1" applyAlignment="1">
      <alignment horizontal="center" vertical="center" wrapText="1"/>
    </xf>
    <xf numFmtId="0" fontId="23" fillId="7" borderId="16" xfId="0" applyFont="1" applyFill="1" applyBorder="1" applyAlignment="1">
      <alignment horizontal="center" vertical="center" wrapText="1"/>
    </xf>
    <xf numFmtId="0" fontId="8" fillId="12" borderId="4" xfId="0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0" fontId="10" fillId="7" borderId="16" xfId="0" applyFont="1" applyFill="1" applyBorder="1" applyAlignment="1">
      <alignment horizontal="center" vertical="center" wrapText="1"/>
    </xf>
    <xf numFmtId="11" fontId="24" fillId="0" borderId="0" xfId="0" applyNumberFormat="1" applyFont="1" applyAlignment="1">
      <alignment horizontal="center" vertical="center"/>
    </xf>
    <xf numFmtId="11" fontId="5" fillId="0" borderId="0" xfId="0" applyNumberFormat="1" applyFont="1" applyAlignment="1">
      <alignment horizontal="center" vertical="center"/>
    </xf>
    <xf numFmtId="0" fontId="16" fillId="6" borderId="4" xfId="5" applyFont="1" applyBorder="1" applyAlignment="1">
      <alignment horizontal="center" vertical="center" wrapText="1"/>
    </xf>
    <xf numFmtId="0" fontId="5" fillId="0" borderId="0" xfId="0" applyFont="1"/>
    <xf numFmtId="0" fontId="10" fillId="7" borderId="5" xfId="0" applyFont="1" applyFill="1" applyBorder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/>
    </xf>
    <xf numFmtId="0" fontId="4" fillId="4" borderId="2" xfId="3" applyAlignment="1">
      <alignment horizontal="center" vertical="center"/>
    </xf>
    <xf numFmtId="0" fontId="2" fillId="2" borderId="25" xfId="1" applyBorder="1" applyAlignment="1">
      <alignment horizontal="center" vertical="center"/>
    </xf>
    <xf numFmtId="0" fontId="2" fillId="2" borderId="0" xfId="1" applyBorder="1" applyAlignment="1">
      <alignment horizontal="center" vertical="center"/>
    </xf>
    <xf numFmtId="0" fontId="0" fillId="5" borderId="12" xfId="4" applyFont="1" applyBorder="1" applyAlignment="1">
      <alignment horizontal="center" vertical="center"/>
    </xf>
    <xf numFmtId="0" fontId="0" fillId="5" borderId="0" xfId="4" applyFont="1" applyBorder="1" applyAlignment="1">
      <alignment horizontal="center" vertical="center"/>
    </xf>
    <xf numFmtId="0" fontId="10" fillId="7" borderId="11" xfId="0" applyFont="1" applyFill="1" applyBorder="1" applyAlignment="1">
      <alignment horizontal="center" vertical="center" wrapText="1"/>
    </xf>
    <xf numFmtId="0" fontId="10" fillId="7" borderId="38" xfId="0" applyFont="1" applyFill="1" applyBorder="1" applyAlignment="1">
      <alignment horizontal="center" vertical="center" wrapText="1"/>
    </xf>
    <xf numFmtId="0" fontId="6" fillId="7" borderId="35" xfId="0" applyFont="1" applyFill="1" applyBorder="1" applyAlignment="1">
      <alignment horizontal="center" vertical="center"/>
    </xf>
    <xf numFmtId="0" fontId="6" fillId="7" borderId="36" xfId="0" applyFont="1" applyFill="1" applyBorder="1" applyAlignment="1">
      <alignment horizontal="center" vertical="center"/>
    </xf>
    <xf numFmtId="0" fontId="6" fillId="7" borderId="37" xfId="0" applyFont="1" applyFill="1" applyBorder="1" applyAlignment="1">
      <alignment horizontal="center" vertical="center"/>
    </xf>
    <xf numFmtId="0" fontId="12" fillId="7" borderId="14" xfId="0" applyFont="1" applyFill="1" applyBorder="1" applyAlignment="1">
      <alignment horizontal="center" vertical="center" wrapText="1"/>
    </xf>
    <xf numFmtId="0" fontId="12" fillId="7" borderId="27" xfId="0" applyFont="1" applyFill="1" applyBorder="1" applyAlignment="1">
      <alignment horizontal="center" vertical="center" wrapText="1"/>
    </xf>
    <xf numFmtId="0" fontId="16" fillId="7" borderId="13" xfId="0" applyFont="1" applyFill="1" applyBorder="1" applyAlignment="1">
      <alignment horizontal="center" vertical="center"/>
    </xf>
    <xf numFmtId="0" fontId="16" fillId="7" borderId="6" xfId="0" applyFont="1" applyFill="1" applyBorder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2" fillId="2" borderId="26" xfId="1" applyBorder="1" applyAlignment="1">
      <alignment horizontal="center" vertical="center"/>
    </xf>
    <xf numFmtId="0" fontId="2" fillId="2" borderId="18" xfId="1" applyBorder="1" applyAlignment="1">
      <alignment horizontal="center" vertical="center"/>
    </xf>
    <xf numFmtId="0" fontId="2" fillId="2" borderId="23" xfId="1" applyBorder="1" applyAlignment="1">
      <alignment horizontal="center" vertical="center"/>
    </xf>
  </cellXfs>
  <cellStyles count="6">
    <cellStyle name="40% - Accent3" xfId="5" builtinId="39"/>
    <cellStyle name="Calculation" xfId="2" builtinId="22"/>
    <cellStyle name="Check Cell" xfId="3" builtinId="23"/>
    <cellStyle name="Input" xfId="1" builtinId="20"/>
    <cellStyle name="Normal" xfId="0" builtinId="0"/>
    <cellStyle name="Note" xfId="4" builtinId="10"/>
  </cellStyles>
  <dxfs count="11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N8010: PEC/PNEC leaching in days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leaching data day 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[1]N8010_leaching!$B$3:$B$20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[1]N8010_leaching!$O$3:$O$20</c:f>
              <c:numCache>
                <c:formatCode>General</c:formatCode>
                <c:ptCount val="18"/>
                <c:pt idx="0">
                  <c:v>0</c:v>
                </c:pt>
                <c:pt idx="1">
                  <c:v>0.15170008718395814</c:v>
                </c:pt>
                <c:pt idx="2">
                  <c:v>4.9310344827586207E-2</c:v>
                </c:pt>
                <c:pt idx="3">
                  <c:v>2.4905660377358489</c:v>
                </c:pt>
                <c:pt idx="4">
                  <c:v>10.333333333333332</c:v>
                </c:pt>
                <c:pt idx="5">
                  <c:v>0</c:v>
                </c:pt>
                <c:pt idx="6">
                  <c:v>10.970588235294118</c:v>
                </c:pt>
                <c:pt idx="7">
                  <c:v>0</c:v>
                </c:pt>
                <c:pt idx="8">
                  <c:v>0</c:v>
                </c:pt>
                <c:pt idx="9">
                  <c:v>0.58536585365853666</c:v>
                </c:pt>
                <c:pt idx="10">
                  <c:v>61.388888888888886</c:v>
                </c:pt>
                <c:pt idx="11">
                  <c:v>0.42105263157894735</c:v>
                </c:pt>
                <c:pt idx="12">
                  <c:v>0.16307692307692309</c:v>
                </c:pt>
                <c:pt idx="13">
                  <c:v>1.3900000000000001</c:v>
                </c:pt>
                <c:pt idx="14">
                  <c:v>0.64166666666666672</c:v>
                </c:pt>
                <c:pt idx="15">
                  <c:v>0.45535714285714285</c:v>
                </c:pt>
                <c:pt idx="16">
                  <c:v>28.464285714285715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44-4211-8C9C-7B69222C9667}"/>
            </c:ext>
          </c:extLst>
        </c:ser>
        <c:ser>
          <c:idx val="1"/>
          <c:order val="1"/>
          <c:tx>
            <c:v>leaching data day 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[1]N8010_leaching!$B$3:$B$20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[1]N8010_leaching!$P$3:$P$20</c:f>
              <c:numCache>
                <c:formatCode>General</c:formatCode>
                <c:ptCount val="18"/>
                <c:pt idx="0">
                  <c:v>0</c:v>
                </c:pt>
                <c:pt idx="1">
                  <c:v>5.9459459459459463E-2</c:v>
                </c:pt>
                <c:pt idx="2">
                  <c:v>2.6206896551724139E-2</c:v>
                </c:pt>
                <c:pt idx="3">
                  <c:v>1.7075471698113207</c:v>
                </c:pt>
                <c:pt idx="4">
                  <c:v>6.7301587301587302</c:v>
                </c:pt>
                <c:pt idx="5">
                  <c:v>0</c:v>
                </c:pt>
                <c:pt idx="6">
                  <c:v>9.5</c:v>
                </c:pt>
                <c:pt idx="7">
                  <c:v>0</c:v>
                </c:pt>
                <c:pt idx="8">
                  <c:v>0</c:v>
                </c:pt>
                <c:pt idx="9">
                  <c:v>0.41463414634146345</c:v>
                </c:pt>
                <c:pt idx="10">
                  <c:v>48.541666666666664</c:v>
                </c:pt>
                <c:pt idx="11">
                  <c:v>0.24736842105263157</c:v>
                </c:pt>
                <c:pt idx="12">
                  <c:v>0</c:v>
                </c:pt>
                <c:pt idx="13">
                  <c:v>0.95500000000000007</c:v>
                </c:pt>
                <c:pt idx="14">
                  <c:v>0</c:v>
                </c:pt>
                <c:pt idx="15">
                  <c:v>0.27142857142857146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44-4211-8C9C-7B69222C9667}"/>
            </c:ext>
          </c:extLst>
        </c:ser>
        <c:ser>
          <c:idx val="2"/>
          <c:order val="2"/>
          <c:tx>
            <c:v>leaching data day 6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[1]N8010_leaching!$B$3:$B$20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[1]N8010_leaching!$Q$3:$Q$20</c:f>
              <c:numCache>
                <c:formatCode>General</c:formatCode>
                <c:ptCount val="18"/>
                <c:pt idx="0">
                  <c:v>0</c:v>
                </c:pt>
                <c:pt idx="1">
                  <c:v>1.7698343504795117E-2</c:v>
                </c:pt>
                <c:pt idx="2">
                  <c:v>9.655172413793104E-3</c:v>
                </c:pt>
                <c:pt idx="3">
                  <c:v>0.68867924528301883</c:v>
                </c:pt>
                <c:pt idx="4">
                  <c:v>3.3015873015873018</c:v>
                </c:pt>
                <c:pt idx="5">
                  <c:v>0</c:v>
                </c:pt>
                <c:pt idx="6">
                  <c:v>3.1470588235294117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23.888888888888889</c:v>
                </c:pt>
                <c:pt idx="11">
                  <c:v>0</c:v>
                </c:pt>
                <c:pt idx="12">
                  <c:v>0</c:v>
                </c:pt>
                <c:pt idx="13">
                  <c:v>0.32799999999999996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44-4211-8C9C-7B69222C9667}"/>
            </c:ext>
          </c:extLst>
        </c:ser>
        <c:ser>
          <c:idx val="3"/>
          <c:order val="3"/>
          <c:tx>
            <c:v>leaching data day 13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[1]N8010_leaching!$B$3:$B$20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[1]N8010_leaching!$R$3:$R$20</c:f>
              <c:numCache>
                <c:formatCode>General</c:formatCode>
                <c:ptCount val="18"/>
                <c:pt idx="0">
                  <c:v>0.11929824561403507</c:v>
                </c:pt>
                <c:pt idx="1">
                  <c:v>7.0531822144725365E-2</c:v>
                </c:pt>
                <c:pt idx="2">
                  <c:v>1.2068965517241379E-2</c:v>
                </c:pt>
                <c:pt idx="3">
                  <c:v>0</c:v>
                </c:pt>
                <c:pt idx="4">
                  <c:v>2.4285714285714288</c:v>
                </c:pt>
                <c:pt idx="5">
                  <c:v>0</c:v>
                </c:pt>
                <c:pt idx="6">
                  <c:v>1.5176470588235293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18.333333333333332</c:v>
                </c:pt>
                <c:pt idx="11">
                  <c:v>0</c:v>
                </c:pt>
                <c:pt idx="12">
                  <c:v>0</c:v>
                </c:pt>
                <c:pt idx="13">
                  <c:v>1.01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044-4211-8C9C-7B69222C9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5060607"/>
        <c:axId val="1055071839"/>
      </c:barChart>
      <c:lineChart>
        <c:grouping val="standard"/>
        <c:varyColors val="0"/>
        <c:ser>
          <c:idx val="4"/>
          <c:order val="4"/>
          <c:tx>
            <c:v>threshold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[1]N8010_leaching!$S$3:$S$20</c:f>
              <c:numCache>
                <c:formatCode>General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044-4211-8C9C-7B69222C9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5060607"/>
        <c:axId val="1055071839"/>
      </c:lineChart>
      <c:catAx>
        <c:axId val="10550606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Chemicals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1055071839"/>
        <c:crosses val="autoZero"/>
        <c:auto val="1"/>
        <c:lblAlgn val="ctr"/>
        <c:lblOffset val="100"/>
        <c:noMultiLvlLbl val="0"/>
      </c:catAx>
      <c:valAx>
        <c:axId val="1055071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PEC/PNEC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10550606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N8010: PEC/PNEC leaching in days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leaching data day 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[1]N8040_leaching!$B$3:$B$20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[1]N8040_leaching!$O$3:$O$20</c:f>
              <c:numCache>
                <c:formatCode>General</c:formatCode>
                <c:ptCount val="18"/>
                <c:pt idx="0">
                  <c:v>0.19122807017543858</c:v>
                </c:pt>
                <c:pt idx="1">
                  <c:v>0.90671316477768094</c:v>
                </c:pt>
                <c:pt idx="2">
                  <c:v>4.8965517241379312E-2</c:v>
                </c:pt>
                <c:pt idx="3">
                  <c:v>20.943396226415093</c:v>
                </c:pt>
                <c:pt idx="4">
                  <c:v>50.63492063492064</c:v>
                </c:pt>
                <c:pt idx="5">
                  <c:v>1.0545454545454545E-2</c:v>
                </c:pt>
                <c:pt idx="6">
                  <c:v>23.941176470588236</c:v>
                </c:pt>
                <c:pt idx="7">
                  <c:v>0</c:v>
                </c:pt>
                <c:pt idx="8">
                  <c:v>0</c:v>
                </c:pt>
                <c:pt idx="9">
                  <c:v>0.70731707317073178</c:v>
                </c:pt>
                <c:pt idx="10">
                  <c:v>120.83333333333333</c:v>
                </c:pt>
                <c:pt idx="11">
                  <c:v>9.8421052631578956</c:v>
                </c:pt>
                <c:pt idx="12">
                  <c:v>2.0153846153846153</c:v>
                </c:pt>
                <c:pt idx="13">
                  <c:v>4.4649999999999999</c:v>
                </c:pt>
                <c:pt idx="14">
                  <c:v>7.5</c:v>
                </c:pt>
                <c:pt idx="15">
                  <c:v>0.79821428571428577</c:v>
                </c:pt>
                <c:pt idx="16">
                  <c:v>0</c:v>
                </c:pt>
                <c:pt idx="17">
                  <c:v>144.91941176470587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C7-4AD7-AE8B-986F62520D23}"/>
            </c:ext>
          </c:extLst>
        </c:ser>
        <c:ser>
          <c:idx val="1"/>
          <c:order val="1"/>
          <c:tx>
            <c:v>leaching data day 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[1]N8040_leaching!$B$3:$B$20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[1]N8040_leaching!$P$3:$P$20</c:f>
              <c:numCache>
                <c:formatCode>General</c:formatCode>
                <c:ptCount val="18"/>
                <c:pt idx="0">
                  <c:v>0.19122807017543858</c:v>
                </c:pt>
                <c:pt idx="1">
                  <c:v>1.0113339145597209</c:v>
                </c:pt>
                <c:pt idx="2">
                  <c:v>8.6896551724137933E-2</c:v>
                </c:pt>
                <c:pt idx="3">
                  <c:v>18.39622641509434</c:v>
                </c:pt>
                <c:pt idx="4">
                  <c:v>23.015873015873016</c:v>
                </c:pt>
                <c:pt idx="5">
                  <c:v>1.7030303030303031E-2</c:v>
                </c:pt>
                <c:pt idx="6">
                  <c:v>29.411764705882351</c:v>
                </c:pt>
                <c:pt idx="7">
                  <c:v>0</c:v>
                </c:pt>
                <c:pt idx="8">
                  <c:v>0</c:v>
                </c:pt>
                <c:pt idx="9">
                  <c:v>0.87804878048780499</c:v>
                </c:pt>
                <c:pt idx="10">
                  <c:v>134.02777777777777</c:v>
                </c:pt>
                <c:pt idx="11">
                  <c:v>10.578947368421051</c:v>
                </c:pt>
                <c:pt idx="12">
                  <c:v>2.8</c:v>
                </c:pt>
                <c:pt idx="13">
                  <c:v>4.41</c:v>
                </c:pt>
                <c:pt idx="14">
                  <c:v>13.875</c:v>
                </c:pt>
                <c:pt idx="15">
                  <c:v>1.1285714285714288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C7-4AD7-AE8B-986F62520D23}"/>
            </c:ext>
          </c:extLst>
        </c:ser>
        <c:ser>
          <c:idx val="2"/>
          <c:order val="2"/>
          <c:tx>
            <c:v>leaching data day 6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[1]N8040_leaching!$B$3:$B$20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[1]N8040_leaching!$Q$3:$Q$20</c:f>
              <c:numCache>
                <c:formatCode>General</c:formatCode>
                <c:ptCount val="18"/>
                <c:pt idx="0">
                  <c:v>0.10701754385964912</c:v>
                </c:pt>
                <c:pt idx="1">
                  <c:v>0.1089799476896251</c:v>
                </c:pt>
                <c:pt idx="2">
                  <c:v>4.7931034482758622E-2</c:v>
                </c:pt>
                <c:pt idx="3">
                  <c:v>3.4811320754716979</c:v>
                </c:pt>
                <c:pt idx="4">
                  <c:v>3.4920634920634921</c:v>
                </c:pt>
                <c:pt idx="5">
                  <c:v>7.2121212121212122E-3</c:v>
                </c:pt>
                <c:pt idx="6">
                  <c:v>8.3529411764705888</c:v>
                </c:pt>
                <c:pt idx="7">
                  <c:v>0</c:v>
                </c:pt>
                <c:pt idx="8">
                  <c:v>0</c:v>
                </c:pt>
                <c:pt idx="9">
                  <c:v>0.26829268292682934</c:v>
                </c:pt>
                <c:pt idx="10">
                  <c:v>44.375</c:v>
                </c:pt>
                <c:pt idx="11">
                  <c:v>0</c:v>
                </c:pt>
                <c:pt idx="12">
                  <c:v>0.84769230769230763</c:v>
                </c:pt>
                <c:pt idx="13">
                  <c:v>3.4950000000000001</c:v>
                </c:pt>
                <c:pt idx="14">
                  <c:v>0.42083333333333334</c:v>
                </c:pt>
                <c:pt idx="15">
                  <c:v>0.4107142857142857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C7-4AD7-AE8B-986F62520D23}"/>
            </c:ext>
          </c:extLst>
        </c:ser>
        <c:ser>
          <c:idx val="3"/>
          <c:order val="3"/>
          <c:tx>
            <c:v>leaching data day 13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[1]N8040_leaching!$B$3:$B$20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[1]N8040_leaching!$R$3:$R$20</c:f>
              <c:numCache>
                <c:formatCode>General</c:formatCode>
                <c:ptCount val="18"/>
                <c:pt idx="0">
                  <c:v>0</c:v>
                </c:pt>
                <c:pt idx="1">
                  <c:v>1.830863121185702E-2</c:v>
                </c:pt>
                <c:pt idx="2">
                  <c:v>2.0689655172413793E-2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1.8499999999999999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8.8194444444444446</c:v>
                </c:pt>
                <c:pt idx="11">
                  <c:v>0</c:v>
                </c:pt>
                <c:pt idx="12">
                  <c:v>0.1553846153846154</c:v>
                </c:pt>
                <c:pt idx="13">
                  <c:v>0.745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C7-4AD7-AE8B-986F62520D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5060607"/>
        <c:axId val="1055071839"/>
      </c:barChart>
      <c:lineChart>
        <c:grouping val="standard"/>
        <c:varyColors val="0"/>
        <c:ser>
          <c:idx val="4"/>
          <c:order val="4"/>
          <c:tx>
            <c:v>threshold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[1]N8040_leaching!$S$3:$S$20</c:f>
              <c:numCache>
                <c:formatCode>General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3C7-4AD7-AE8B-986F62520D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5060607"/>
        <c:axId val="1055071839"/>
      </c:lineChart>
      <c:catAx>
        <c:axId val="10550606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Chemicals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1055071839"/>
        <c:crosses val="autoZero"/>
        <c:auto val="1"/>
        <c:lblAlgn val="ctr"/>
        <c:lblOffset val="100"/>
        <c:noMultiLvlLbl val="0"/>
      </c:catAx>
      <c:valAx>
        <c:axId val="1055071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PEC/PNEC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10550606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Comaprison leaching with</a:t>
            </a:r>
            <a:r>
              <a:rPr lang="en-GB" baseline="0"/>
              <a:t> dilution factors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Raw data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('[2]ERA_8010 (2)'!$E$113,'[2]ERA_8010 (2)'!$E$119)</c:f>
              <c:strCache>
                <c:ptCount val="2"/>
                <c:pt idx="0">
                  <c:v>Zn</c:v>
                </c:pt>
                <c:pt idx="1">
                  <c:v>Styrene</c:v>
                </c:pt>
              </c:strCache>
            </c:strRef>
          </c:cat>
          <c:val>
            <c:numRef>
              <c:f>'[2]ERA_8010 (2)'!$O$11</c:f>
              <c:numCache>
                <c:formatCode>General</c:formatCode>
                <c:ptCount val="1"/>
                <c:pt idx="0">
                  <c:v>61.388888888888886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3B-41CE-8FD4-FCF31AC165D8}"/>
            </c:ext>
          </c:extLst>
        </c:ser>
        <c:ser>
          <c:idx val="1"/>
          <c:order val="1"/>
          <c:tx>
            <c:v>10x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('[2]ERA_8010 (2)'!$E$113,'[2]ERA_8010 (2)'!$E$119)</c:f>
              <c:strCache>
                <c:ptCount val="2"/>
                <c:pt idx="0">
                  <c:v>Zn</c:v>
                </c:pt>
                <c:pt idx="1">
                  <c:v>Styrene</c:v>
                </c:pt>
              </c:strCache>
            </c:strRef>
          </c:cat>
          <c:val>
            <c:numRef>
              <c:f>('[2]ERA_8010 (2)'!$O$28,'[2]ERA_8010 (2)'!$O$34)</c:f>
              <c:numCache>
                <c:formatCode>General</c:formatCode>
                <c:ptCount val="2"/>
                <c:pt idx="0">
                  <c:v>6.1388888888888893</c:v>
                </c:pt>
                <c:pt idx="1">
                  <c:v>2.8464285714285715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3B-41CE-8FD4-FCF31AC165D8}"/>
            </c:ext>
          </c:extLst>
        </c:ser>
        <c:ser>
          <c:idx val="2"/>
          <c:order val="2"/>
          <c:tx>
            <c:v>20x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('[2]ERA_8010 (2)'!$E$113,'[2]ERA_8010 (2)'!$E$119)</c:f>
              <c:strCache>
                <c:ptCount val="2"/>
                <c:pt idx="0">
                  <c:v>Zn</c:v>
                </c:pt>
                <c:pt idx="1">
                  <c:v>Styrene</c:v>
                </c:pt>
              </c:strCache>
            </c:strRef>
          </c:cat>
          <c:val>
            <c:numRef>
              <c:f>('[2]ERA_8010 (2)'!$O$45,'[2]ERA_8010 (2)'!$O$51)</c:f>
              <c:numCache>
                <c:formatCode>General</c:formatCode>
                <c:ptCount val="2"/>
                <c:pt idx="0">
                  <c:v>3.0694444444444446</c:v>
                </c:pt>
                <c:pt idx="1">
                  <c:v>1.4232142857142858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3B-41CE-8FD4-FCF31AC165D8}"/>
            </c:ext>
          </c:extLst>
        </c:ser>
        <c:ser>
          <c:idx val="3"/>
          <c:order val="3"/>
          <c:tx>
            <c:v>50x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('[2]ERA_8010 (2)'!$E$113,'[2]ERA_8010 (2)'!$E$119)</c:f>
              <c:strCache>
                <c:ptCount val="2"/>
                <c:pt idx="0">
                  <c:v>Zn</c:v>
                </c:pt>
                <c:pt idx="1">
                  <c:v>Styrene</c:v>
                </c:pt>
              </c:strCache>
            </c:strRef>
          </c:cat>
          <c:val>
            <c:numRef>
              <c:f>('[2]ERA_8010 (2)'!$O$62,'[2]ERA_8010 (2)'!$O$68)</c:f>
              <c:numCache>
                <c:formatCode>General</c:formatCode>
                <c:ptCount val="2"/>
                <c:pt idx="0">
                  <c:v>1.2277777777777776</c:v>
                </c:pt>
                <c:pt idx="1">
                  <c:v>0.56928571428571428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3B-41CE-8FD4-FCF31AC165D8}"/>
            </c:ext>
          </c:extLst>
        </c:ser>
        <c:ser>
          <c:idx val="4"/>
          <c:order val="4"/>
          <c:tx>
            <c:v>60x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('[2]ERA_8010 (2)'!$E$113,'[2]ERA_8010 (2)'!$E$119)</c:f>
              <c:strCache>
                <c:ptCount val="2"/>
                <c:pt idx="0">
                  <c:v>Zn</c:v>
                </c:pt>
                <c:pt idx="1">
                  <c:v>Styrene</c:v>
                </c:pt>
              </c:strCache>
            </c:strRef>
          </c:cat>
          <c:val>
            <c:numRef>
              <c:f>('[2]ERA_8010 (2)'!$O$79,'[2]ERA_8010 (2)'!$O$85)</c:f>
              <c:numCache>
                <c:formatCode>General</c:formatCode>
                <c:ptCount val="2"/>
                <c:pt idx="0">
                  <c:v>1.0231481481481481</c:v>
                </c:pt>
                <c:pt idx="1">
                  <c:v>0.47440476190476188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53B-41CE-8FD4-FCF31AC165D8}"/>
            </c:ext>
          </c:extLst>
        </c:ser>
        <c:ser>
          <c:idx val="5"/>
          <c:order val="5"/>
          <c:tx>
            <c:v>70x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('[2]ERA_8010 (2)'!$E$113,'[2]ERA_8010 (2)'!$E$119)</c:f>
              <c:strCache>
                <c:ptCount val="2"/>
                <c:pt idx="0">
                  <c:v>Zn</c:v>
                </c:pt>
                <c:pt idx="1">
                  <c:v>Styrene</c:v>
                </c:pt>
              </c:strCache>
            </c:strRef>
          </c:cat>
          <c:val>
            <c:numRef>
              <c:f>('[2]ERA_8010 (2)'!$O$96,'[2]ERA_8010 (2)'!$O$102)</c:f>
              <c:numCache>
                <c:formatCode>General</c:formatCode>
                <c:ptCount val="2"/>
                <c:pt idx="0">
                  <c:v>0.87698412698412698</c:v>
                </c:pt>
                <c:pt idx="1">
                  <c:v>0.40663265306122448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53B-41CE-8FD4-FCF31AC165D8}"/>
            </c:ext>
          </c:extLst>
        </c:ser>
        <c:ser>
          <c:idx val="6"/>
          <c:order val="6"/>
          <c:tx>
            <c:v>80x</c:v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('[2]ERA_8010 (2)'!$E$113,'[2]ERA_8010 (2)'!$E$119)</c:f>
              <c:strCache>
                <c:ptCount val="2"/>
                <c:pt idx="0">
                  <c:v>Zn</c:v>
                </c:pt>
                <c:pt idx="1">
                  <c:v>Styrene</c:v>
                </c:pt>
              </c:strCache>
            </c:strRef>
          </c:cat>
          <c:val>
            <c:numRef>
              <c:f>('[2]ERA_8010 (2)'!$O$113,'[2]ERA_8010 (2)'!$O$119)</c:f>
              <c:numCache>
                <c:formatCode>General</c:formatCode>
                <c:ptCount val="2"/>
                <c:pt idx="0">
                  <c:v>0.76736111111111116</c:v>
                </c:pt>
                <c:pt idx="1">
                  <c:v>0.35580357142857144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53B-41CE-8FD4-FCF31AC165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285807824"/>
        <c:axId val="1285812400"/>
      </c:barChart>
      <c:lineChart>
        <c:grouping val="standard"/>
        <c:varyColors val="0"/>
        <c:ser>
          <c:idx val="7"/>
          <c:order val="7"/>
          <c:tx>
            <c:v>Threshold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('[2]ERA_8010 (2)'!$S$11,'[2]ERA_8010 (2)'!$S$17)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53B-41CE-8FD4-FCF31AC165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5807824"/>
        <c:axId val="1285812400"/>
      </c:lineChart>
      <c:catAx>
        <c:axId val="12858078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Chemicals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1285812400"/>
        <c:crosses val="autoZero"/>
        <c:auto val="1"/>
        <c:lblAlgn val="ctr"/>
        <c:lblOffset val="100"/>
        <c:noMultiLvlLbl val="0"/>
      </c:catAx>
      <c:valAx>
        <c:axId val="1285812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PEC/PNEC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1285807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M1</a:t>
            </a:r>
            <a:r>
              <a:rPr lang="en-GB" baseline="0"/>
              <a:t> dilution factors 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leaching day 1+N8010_leaching!$O$3:$O$4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[1]N8040_leaching!$B$3:$B$20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[1]N8040_leaching!$O$3:$O$20</c:f>
              <c:numCache>
                <c:formatCode>General</c:formatCode>
                <c:ptCount val="18"/>
                <c:pt idx="0">
                  <c:v>0.19122807017543858</c:v>
                </c:pt>
                <c:pt idx="1">
                  <c:v>0.90671316477768094</c:v>
                </c:pt>
                <c:pt idx="2">
                  <c:v>4.8965517241379312E-2</c:v>
                </c:pt>
                <c:pt idx="3">
                  <c:v>20.943396226415093</c:v>
                </c:pt>
                <c:pt idx="4">
                  <c:v>50.63492063492064</c:v>
                </c:pt>
                <c:pt idx="5">
                  <c:v>1.0545454545454545E-2</c:v>
                </c:pt>
                <c:pt idx="6">
                  <c:v>23.941176470588236</c:v>
                </c:pt>
                <c:pt idx="7">
                  <c:v>0</c:v>
                </c:pt>
                <c:pt idx="8">
                  <c:v>0</c:v>
                </c:pt>
                <c:pt idx="9">
                  <c:v>0.70731707317073178</c:v>
                </c:pt>
                <c:pt idx="10">
                  <c:v>120.83333333333333</c:v>
                </c:pt>
                <c:pt idx="11">
                  <c:v>9.8421052631578956</c:v>
                </c:pt>
                <c:pt idx="12">
                  <c:v>2.0153846153846153</c:v>
                </c:pt>
                <c:pt idx="13">
                  <c:v>4.4649999999999999</c:v>
                </c:pt>
                <c:pt idx="14">
                  <c:v>7.5</c:v>
                </c:pt>
                <c:pt idx="15">
                  <c:v>0.79821428571428577</c:v>
                </c:pt>
                <c:pt idx="16">
                  <c:v>0</c:v>
                </c:pt>
                <c:pt idx="17">
                  <c:v>144.91941176470587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22-4B3D-A14D-90C959BA6FE1}"/>
            </c:ext>
          </c:extLst>
        </c:ser>
        <c:ser>
          <c:idx val="1"/>
          <c:order val="1"/>
          <c:tx>
            <c:v>10 x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[1]N8040_leaching!$B$3:$B$20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[1]N8040_leaching!$O$23:$O$40</c:f>
              <c:numCache>
                <c:formatCode>General</c:formatCode>
                <c:ptCount val="18"/>
                <c:pt idx="0">
                  <c:v>1.9122807017543861E-2</c:v>
                </c:pt>
                <c:pt idx="1">
                  <c:v>9.0671316477768091E-2</c:v>
                </c:pt>
                <c:pt idx="2">
                  <c:v>4.8965517241379309E-3</c:v>
                </c:pt>
                <c:pt idx="3">
                  <c:v>2.0943396226415092</c:v>
                </c:pt>
                <c:pt idx="4">
                  <c:v>5.0634920634920633</c:v>
                </c:pt>
                <c:pt idx="5">
                  <c:v>1.0545454545454545E-3</c:v>
                </c:pt>
                <c:pt idx="6">
                  <c:v>2.3941176470588239</c:v>
                </c:pt>
                <c:pt idx="7">
                  <c:v>0</c:v>
                </c:pt>
                <c:pt idx="8">
                  <c:v>0</c:v>
                </c:pt>
                <c:pt idx="9">
                  <c:v>7.0731707317073178E-2</c:v>
                </c:pt>
                <c:pt idx="10">
                  <c:v>12.083333333333332</c:v>
                </c:pt>
                <c:pt idx="11">
                  <c:v>0.98421052631578942</c:v>
                </c:pt>
                <c:pt idx="12">
                  <c:v>0.20153846153846156</c:v>
                </c:pt>
                <c:pt idx="13">
                  <c:v>0.44650000000000001</c:v>
                </c:pt>
                <c:pt idx="14">
                  <c:v>0.75</c:v>
                </c:pt>
                <c:pt idx="15">
                  <c:v>7.9821428571428571E-2</c:v>
                </c:pt>
                <c:pt idx="16">
                  <c:v>0</c:v>
                </c:pt>
                <c:pt idx="17">
                  <c:v>14.491941176470588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22-4B3D-A14D-90C959BA6FE1}"/>
            </c:ext>
          </c:extLst>
        </c:ser>
        <c:ser>
          <c:idx val="2"/>
          <c:order val="2"/>
          <c:tx>
            <c:v>20x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[1]N8040_leaching!$B$3:$B$20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[1]N8040_leaching!$O$43:$O$60</c:f>
              <c:numCache>
                <c:formatCode>General</c:formatCode>
                <c:ptCount val="18"/>
                <c:pt idx="0">
                  <c:v>9.5614035087719304E-3</c:v>
                </c:pt>
                <c:pt idx="1">
                  <c:v>4.5335658238884045E-2</c:v>
                </c:pt>
                <c:pt idx="2">
                  <c:v>2.4482758620689654E-3</c:v>
                </c:pt>
                <c:pt idx="3">
                  <c:v>1.0471698113207546</c:v>
                </c:pt>
                <c:pt idx="4">
                  <c:v>2.5317460317460316</c:v>
                </c:pt>
                <c:pt idx="5">
                  <c:v>5.2727272727272725E-4</c:v>
                </c:pt>
                <c:pt idx="6">
                  <c:v>1.197058823529412</c:v>
                </c:pt>
                <c:pt idx="7">
                  <c:v>0</c:v>
                </c:pt>
                <c:pt idx="8">
                  <c:v>0</c:v>
                </c:pt>
                <c:pt idx="9">
                  <c:v>3.5365853658536589E-2</c:v>
                </c:pt>
                <c:pt idx="10">
                  <c:v>6.0416666666666661</c:v>
                </c:pt>
                <c:pt idx="11">
                  <c:v>0.49210526315789471</c:v>
                </c:pt>
                <c:pt idx="12">
                  <c:v>0.10076923076923078</c:v>
                </c:pt>
                <c:pt idx="13">
                  <c:v>0.22325</c:v>
                </c:pt>
                <c:pt idx="14">
                  <c:v>0.375</c:v>
                </c:pt>
                <c:pt idx="15">
                  <c:v>3.9910714285714285E-2</c:v>
                </c:pt>
                <c:pt idx="16">
                  <c:v>0</c:v>
                </c:pt>
                <c:pt idx="17">
                  <c:v>7.2459705882352941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22-4B3D-A14D-90C959BA6FE1}"/>
            </c:ext>
          </c:extLst>
        </c:ser>
        <c:ser>
          <c:idx val="3"/>
          <c:order val="3"/>
          <c:tx>
            <c:v>50x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[1]N8040_leaching!$B$3:$B$20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[1]N8040_leaching!$O$63:$O$80</c:f>
              <c:numCache>
                <c:formatCode>General</c:formatCode>
                <c:ptCount val="18"/>
                <c:pt idx="0">
                  <c:v>3.8245614035087717E-3</c:v>
                </c:pt>
                <c:pt idx="1">
                  <c:v>1.8134263295553617E-2</c:v>
                </c:pt>
                <c:pt idx="2">
                  <c:v>9.7931034482758614E-4</c:v>
                </c:pt>
                <c:pt idx="3">
                  <c:v>0.41886792452830185</c:v>
                </c:pt>
                <c:pt idx="4">
                  <c:v>1.0126984126984127</c:v>
                </c:pt>
                <c:pt idx="5">
                  <c:v>2.1090909090909089E-4</c:v>
                </c:pt>
                <c:pt idx="6">
                  <c:v>0.47882352941176476</c:v>
                </c:pt>
                <c:pt idx="7">
                  <c:v>0</c:v>
                </c:pt>
                <c:pt idx="8">
                  <c:v>0</c:v>
                </c:pt>
                <c:pt idx="9">
                  <c:v>1.4146341463414635E-2</c:v>
                </c:pt>
                <c:pt idx="10">
                  <c:v>2.4166666666666665</c:v>
                </c:pt>
                <c:pt idx="11">
                  <c:v>0.1968421052631579</c:v>
                </c:pt>
                <c:pt idx="12">
                  <c:v>4.0307692307692308E-2</c:v>
                </c:pt>
                <c:pt idx="13">
                  <c:v>8.9300000000000004E-2</c:v>
                </c:pt>
                <c:pt idx="14">
                  <c:v>0.15</c:v>
                </c:pt>
                <c:pt idx="15">
                  <c:v>1.5964285714285716E-2</c:v>
                </c:pt>
                <c:pt idx="16">
                  <c:v>0</c:v>
                </c:pt>
                <c:pt idx="17">
                  <c:v>2.8983882352941177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22-4B3D-A14D-90C959BA6FE1}"/>
            </c:ext>
          </c:extLst>
        </c:ser>
        <c:ser>
          <c:idx val="4"/>
          <c:order val="4"/>
          <c:tx>
            <c:v>60x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[1]N8040_leaching!$B$3:$B$20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[1]N8040_leaching!$O$83:$O$100</c:f>
              <c:numCache>
                <c:formatCode>General</c:formatCode>
                <c:ptCount val="18"/>
                <c:pt idx="0">
                  <c:v>3.1871345029239767E-3</c:v>
                </c:pt>
                <c:pt idx="1">
                  <c:v>1.5111886079628016E-2</c:v>
                </c:pt>
                <c:pt idx="2">
                  <c:v>8.1609195402298856E-4</c:v>
                </c:pt>
                <c:pt idx="3">
                  <c:v>0.34905660377358488</c:v>
                </c:pt>
                <c:pt idx="4">
                  <c:v>0.84391534391534395</c:v>
                </c:pt>
                <c:pt idx="5">
                  <c:v>1.7575757575757575E-4</c:v>
                </c:pt>
                <c:pt idx="6">
                  <c:v>0.39901960784313723</c:v>
                </c:pt>
                <c:pt idx="7">
                  <c:v>0</c:v>
                </c:pt>
                <c:pt idx="8">
                  <c:v>0</c:v>
                </c:pt>
                <c:pt idx="9">
                  <c:v>1.1788617886178862E-2</c:v>
                </c:pt>
                <c:pt idx="10">
                  <c:v>2.0138888888888888</c:v>
                </c:pt>
                <c:pt idx="11">
                  <c:v>0.16403508771929826</c:v>
                </c:pt>
                <c:pt idx="12">
                  <c:v>3.3589743589743586E-2</c:v>
                </c:pt>
                <c:pt idx="13">
                  <c:v>7.4416666666666659E-2</c:v>
                </c:pt>
                <c:pt idx="14">
                  <c:v>0.125</c:v>
                </c:pt>
                <c:pt idx="15">
                  <c:v>1.3303571428571428E-2</c:v>
                </c:pt>
                <c:pt idx="16">
                  <c:v>0</c:v>
                </c:pt>
                <c:pt idx="17">
                  <c:v>2.4153235294117645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422-4B3D-A14D-90C959BA6FE1}"/>
            </c:ext>
          </c:extLst>
        </c:ser>
        <c:ser>
          <c:idx val="5"/>
          <c:order val="5"/>
          <c:tx>
            <c:v>70x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[1]N8040_leaching!$B$3:$B$20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[1]N8040_leaching!$O$103:$O$120</c:f>
              <c:numCache>
                <c:formatCode>General</c:formatCode>
                <c:ptCount val="18"/>
                <c:pt idx="0">
                  <c:v>2.731829573934837E-3</c:v>
                </c:pt>
                <c:pt idx="1">
                  <c:v>1.2953045211109727E-2</c:v>
                </c:pt>
                <c:pt idx="2">
                  <c:v>6.9950738916256159E-4</c:v>
                </c:pt>
                <c:pt idx="3">
                  <c:v>0.29919137466307272</c:v>
                </c:pt>
                <c:pt idx="4">
                  <c:v>0.72335600907029474</c:v>
                </c:pt>
                <c:pt idx="5">
                  <c:v>1.5064935064935063E-4</c:v>
                </c:pt>
                <c:pt idx="6">
                  <c:v>0.34201680672268908</c:v>
                </c:pt>
                <c:pt idx="7">
                  <c:v>0</c:v>
                </c:pt>
                <c:pt idx="8">
                  <c:v>0</c:v>
                </c:pt>
                <c:pt idx="9">
                  <c:v>1.0104529616724738E-2</c:v>
                </c:pt>
                <c:pt idx="10">
                  <c:v>1.7261904761904763</c:v>
                </c:pt>
                <c:pt idx="11">
                  <c:v>0.14060150375939851</c:v>
                </c:pt>
                <c:pt idx="12">
                  <c:v>2.8791208791208792E-2</c:v>
                </c:pt>
                <c:pt idx="13">
                  <c:v>6.3785714285714279E-2</c:v>
                </c:pt>
                <c:pt idx="14">
                  <c:v>0.10714285714285714</c:v>
                </c:pt>
                <c:pt idx="15">
                  <c:v>1.1403061224489796E-2</c:v>
                </c:pt>
                <c:pt idx="16">
                  <c:v>0</c:v>
                </c:pt>
                <c:pt idx="17">
                  <c:v>2.0702773109243697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22-4B3D-A14D-90C959BA6FE1}"/>
            </c:ext>
          </c:extLst>
        </c:ser>
        <c:ser>
          <c:idx val="6"/>
          <c:order val="6"/>
          <c:tx>
            <c:v>80x</c:v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[1]N8040_leaching!$B$3:$B$20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[1]N8040_leaching!$O$123:$O$140</c:f>
              <c:numCache>
                <c:formatCode>General</c:formatCode>
                <c:ptCount val="18"/>
                <c:pt idx="0">
                  <c:v>2.3903508771929826E-3</c:v>
                </c:pt>
                <c:pt idx="1">
                  <c:v>1.1333914559721011E-2</c:v>
                </c:pt>
                <c:pt idx="2">
                  <c:v>6.1206896551724136E-4</c:v>
                </c:pt>
                <c:pt idx="3">
                  <c:v>0.26179245283018865</c:v>
                </c:pt>
                <c:pt idx="4">
                  <c:v>0.63293650793650791</c:v>
                </c:pt>
                <c:pt idx="5">
                  <c:v>1.3181818181818181E-4</c:v>
                </c:pt>
                <c:pt idx="6">
                  <c:v>0.29926470588235299</c:v>
                </c:pt>
                <c:pt idx="7">
                  <c:v>0</c:v>
                </c:pt>
                <c:pt idx="8">
                  <c:v>0</c:v>
                </c:pt>
                <c:pt idx="9">
                  <c:v>8.8414634146341473E-3</c:v>
                </c:pt>
                <c:pt idx="10">
                  <c:v>1.5104166666666665</c:v>
                </c:pt>
                <c:pt idx="11">
                  <c:v>0.12302631578947368</c:v>
                </c:pt>
                <c:pt idx="12">
                  <c:v>2.5192307692307694E-2</c:v>
                </c:pt>
                <c:pt idx="13">
                  <c:v>5.5812500000000001E-2</c:v>
                </c:pt>
                <c:pt idx="14">
                  <c:v>9.375E-2</c:v>
                </c:pt>
                <c:pt idx="15">
                  <c:v>9.9776785714285714E-3</c:v>
                </c:pt>
                <c:pt idx="16">
                  <c:v>0</c:v>
                </c:pt>
                <c:pt idx="17">
                  <c:v>1.8114926470588235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422-4B3D-A14D-90C959BA6F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0830320"/>
        <c:axId val="676998752"/>
      </c:barChart>
      <c:lineChart>
        <c:grouping val="standard"/>
        <c:varyColors val="0"/>
        <c:ser>
          <c:idx val="7"/>
          <c:order val="7"/>
          <c:tx>
            <c:v>threshold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[1]N8040_leaching!$B$3:$B$20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[1]N8040_leaching!$S$3:$S$20</c:f>
              <c:numCache>
                <c:formatCode>General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422-4B3D-A14D-90C959BA6F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830320"/>
        <c:axId val="676998752"/>
      </c:lineChart>
      <c:catAx>
        <c:axId val="670830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Chemicals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676998752"/>
        <c:crosses val="autoZero"/>
        <c:auto val="1"/>
        <c:lblAlgn val="ctr"/>
        <c:lblOffset val="100"/>
        <c:noMultiLvlLbl val="0"/>
      </c:catAx>
      <c:valAx>
        <c:axId val="67699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PEC/PNEC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670830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Comaprison leaching with</a:t>
            </a:r>
            <a:r>
              <a:rPr lang="en-GB" baseline="0"/>
              <a:t> dilution factors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Raw data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('[2]ERA_8010 (2)'!$E$113,'[2]ERA_8010 (2)'!$E$119)</c:f>
              <c:strCache>
                <c:ptCount val="2"/>
                <c:pt idx="0">
                  <c:v>Zn</c:v>
                </c:pt>
                <c:pt idx="1">
                  <c:v>Styrene</c:v>
                </c:pt>
              </c:strCache>
            </c:strRef>
          </c:cat>
          <c:val>
            <c:numRef>
              <c:f>'[2]ERA_8010 (2)'!$O$11</c:f>
              <c:numCache>
                <c:formatCode>General</c:formatCode>
                <c:ptCount val="1"/>
                <c:pt idx="0">
                  <c:v>61.388888888888886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05-4465-8678-0AE3939878D0}"/>
            </c:ext>
          </c:extLst>
        </c:ser>
        <c:ser>
          <c:idx val="1"/>
          <c:order val="1"/>
          <c:tx>
            <c:v>10x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('[2]ERA_8010 (2)'!$E$113,'[2]ERA_8010 (2)'!$E$119)</c:f>
              <c:strCache>
                <c:ptCount val="2"/>
                <c:pt idx="0">
                  <c:v>Zn</c:v>
                </c:pt>
                <c:pt idx="1">
                  <c:v>Styrene</c:v>
                </c:pt>
              </c:strCache>
            </c:strRef>
          </c:cat>
          <c:val>
            <c:numRef>
              <c:f>('[2]ERA_8010 (2)'!$O$28,'[2]ERA_8010 (2)'!$O$34)</c:f>
              <c:numCache>
                <c:formatCode>General</c:formatCode>
                <c:ptCount val="2"/>
                <c:pt idx="0">
                  <c:v>6.1388888888888893</c:v>
                </c:pt>
                <c:pt idx="1">
                  <c:v>2.8464285714285715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05-4465-8678-0AE3939878D0}"/>
            </c:ext>
          </c:extLst>
        </c:ser>
        <c:ser>
          <c:idx val="2"/>
          <c:order val="2"/>
          <c:tx>
            <c:v>20x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('[2]ERA_8010 (2)'!$E$113,'[2]ERA_8010 (2)'!$E$119)</c:f>
              <c:strCache>
                <c:ptCount val="2"/>
                <c:pt idx="0">
                  <c:v>Zn</c:v>
                </c:pt>
                <c:pt idx="1">
                  <c:v>Styrene</c:v>
                </c:pt>
              </c:strCache>
            </c:strRef>
          </c:cat>
          <c:val>
            <c:numRef>
              <c:f>('[2]ERA_8010 (2)'!$O$45,'[2]ERA_8010 (2)'!$O$51)</c:f>
              <c:numCache>
                <c:formatCode>General</c:formatCode>
                <c:ptCount val="2"/>
                <c:pt idx="0">
                  <c:v>3.0694444444444446</c:v>
                </c:pt>
                <c:pt idx="1">
                  <c:v>1.4232142857142858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05-4465-8678-0AE3939878D0}"/>
            </c:ext>
          </c:extLst>
        </c:ser>
        <c:ser>
          <c:idx val="3"/>
          <c:order val="3"/>
          <c:tx>
            <c:v>50x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('[2]ERA_8010 (2)'!$E$113,'[2]ERA_8010 (2)'!$E$119)</c:f>
              <c:strCache>
                <c:ptCount val="2"/>
                <c:pt idx="0">
                  <c:v>Zn</c:v>
                </c:pt>
                <c:pt idx="1">
                  <c:v>Styrene</c:v>
                </c:pt>
              </c:strCache>
            </c:strRef>
          </c:cat>
          <c:val>
            <c:numRef>
              <c:f>('[2]ERA_8010 (2)'!$O$62,'[2]ERA_8010 (2)'!$O$68)</c:f>
              <c:numCache>
                <c:formatCode>General</c:formatCode>
                <c:ptCount val="2"/>
                <c:pt idx="0">
                  <c:v>1.2277777777777776</c:v>
                </c:pt>
                <c:pt idx="1">
                  <c:v>0.56928571428571428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205-4465-8678-0AE3939878D0}"/>
            </c:ext>
          </c:extLst>
        </c:ser>
        <c:ser>
          <c:idx val="4"/>
          <c:order val="4"/>
          <c:tx>
            <c:v>60x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('[2]ERA_8010 (2)'!$E$113,'[2]ERA_8010 (2)'!$E$119)</c:f>
              <c:strCache>
                <c:ptCount val="2"/>
                <c:pt idx="0">
                  <c:v>Zn</c:v>
                </c:pt>
                <c:pt idx="1">
                  <c:v>Styrene</c:v>
                </c:pt>
              </c:strCache>
            </c:strRef>
          </c:cat>
          <c:val>
            <c:numRef>
              <c:f>('[2]ERA_8010 (2)'!$O$79,'[2]ERA_8010 (2)'!$O$85)</c:f>
              <c:numCache>
                <c:formatCode>General</c:formatCode>
                <c:ptCount val="2"/>
                <c:pt idx="0">
                  <c:v>1.0231481481481481</c:v>
                </c:pt>
                <c:pt idx="1">
                  <c:v>0.47440476190476188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205-4465-8678-0AE3939878D0}"/>
            </c:ext>
          </c:extLst>
        </c:ser>
        <c:ser>
          <c:idx val="5"/>
          <c:order val="5"/>
          <c:tx>
            <c:v>70x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('[2]ERA_8010 (2)'!$E$113,'[2]ERA_8010 (2)'!$E$119)</c:f>
              <c:strCache>
                <c:ptCount val="2"/>
                <c:pt idx="0">
                  <c:v>Zn</c:v>
                </c:pt>
                <c:pt idx="1">
                  <c:v>Styrene</c:v>
                </c:pt>
              </c:strCache>
            </c:strRef>
          </c:cat>
          <c:val>
            <c:numRef>
              <c:f>('[2]ERA_8010 (2)'!$O$96,'[2]ERA_8010 (2)'!$O$102)</c:f>
              <c:numCache>
                <c:formatCode>General</c:formatCode>
                <c:ptCount val="2"/>
                <c:pt idx="0">
                  <c:v>0.87698412698412698</c:v>
                </c:pt>
                <c:pt idx="1">
                  <c:v>0.40663265306122448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205-4465-8678-0AE3939878D0}"/>
            </c:ext>
          </c:extLst>
        </c:ser>
        <c:ser>
          <c:idx val="6"/>
          <c:order val="6"/>
          <c:tx>
            <c:v>80x</c:v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('[2]ERA_8010 (2)'!$E$113,'[2]ERA_8010 (2)'!$E$119)</c:f>
              <c:strCache>
                <c:ptCount val="2"/>
                <c:pt idx="0">
                  <c:v>Zn</c:v>
                </c:pt>
                <c:pt idx="1">
                  <c:v>Styrene</c:v>
                </c:pt>
              </c:strCache>
            </c:strRef>
          </c:cat>
          <c:val>
            <c:numRef>
              <c:f>('[2]ERA_8010 (2)'!$O$113,'[2]ERA_8010 (2)'!$O$119)</c:f>
              <c:numCache>
                <c:formatCode>General</c:formatCode>
                <c:ptCount val="2"/>
                <c:pt idx="0">
                  <c:v>0.76736111111111116</c:v>
                </c:pt>
                <c:pt idx="1">
                  <c:v>0.35580357142857144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205-4465-8678-0AE393987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285807824"/>
        <c:axId val="1285812400"/>
      </c:barChart>
      <c:lineChart>
        <c:grouping val="standard"/>
        <c:varyColors val="0"/>
        <c:ser>
          <c:idx val="7"/>
          <c:order val="7"/>
          <c:tx>
            <c:v>Threshold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('[2]ERA_8010 (2)'!$S$11,'[2]ERA_8010 (2)'!$S$17)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205-4465-8678-0AE393987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5807824"/>
        <c:axId val="1285812400"/>
      </c:lineChart>
      <c:catAx>
        <c:axId val="12858078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Chemicals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1285812400"/>
        <c:crosses val="autoZero"/>
        <c:auto val="1"/>
        <c:lblAlgn val="ctr"/>
        <c:lblOffset val="100"/>
        <c:noMultiLvlLbl val="0"/>
      </c:catAx>
      <c:valAx>
        <c:axId val="1285812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PEC/PNEC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1285807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M1</a:t>
            </a:r>
            <a:r>
              <a:rPr lang="en-GB" baseline="0"/>
              <a:t> dilution factors 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leaching day 1+N8010_leaching!$O$3:$O$4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[1]N8010_leaching!$B$3:$B$20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[1]N8010_leaching!$O$3:$O$20</c:f>
              <c:numCache>
                <c:formatCode>General</c:formatCode>
                <c:ptCount val="18"/>
                <c:pt idx="0">
                  <c:v>0</c:v>
                </c:pt>
                <c:pt idx="1">
                  <c:v>0.15170008718395814</c:v>
                </c:pt>
                <c:pt idx="2">
                  <c:v>4.9310344827586207E-2</c:v>
                </c:pt>
                <c:pt idx="3">
                  <c:v>2.4905660377358489</c:v>
                </c:pt>
                <c:pt idx="4">
                  <c:v>10.333333333333332</c:v>
                </c:pt>
                <c:pt idx="5">
                  <c:v>0</c:v>
                </c:pt>
                <c:pt idx="6">
                  <c:v>10.970588235294118</c:v>
                </c:pt>
                <c:pt idx="7">
                  <c:v>0</c:v>
                </c:pt>
                <c:pt idx="8">
                  <c:v>0</c:v>
                </c:pt>
                <c:pt idx="9">
                  <c:v>0.58536585365853666</c:v>
                </c:pt>
                <c:pt idx="10">
                  <c:v>61.388888888888886</c:v>
                </c:pt>
                <c:pt idx="11">
                  <c:v>0.42105263157894735</c:v>
                </c:pt>
                <c:pt idx="12">
                  <c:v>0.16307692307692309</c:v>
                </c:pt>
                <c:pt idx="13">
                  <c:v>1.3900000000000001</c:v>
                </c:pt>
                <c:pt idx="14">
                  <c:v>0.64166666666666672</c:v>
                </c:pt>
                <c:pt idx="15">
                  <c:v>0.45535714285714285</c:v>
                </c:pt>
                <c:pt idx="16">
                  <c:v>28.464285714285715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6B-41D0-AED6-1B1F7C043F5D}"/>
            </c:ext>
          </c:extLst>
        </c:ser>
        <c:ser>
          <c:idx val="1"/>
          <c:order val="1"/>
          <c:tx>
            <c:v>10 x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[1]N8010_leaching!$B$3:$B$20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[1]N8010_leaching!$O$23:$O$40</c:f>
              <c:numCache>
                <c:formatCode>General</c:formatCode>
                <c:ptCount val="18"/>
                <c:pt idx="0">
                  <c:v>0</c:v>
                </c:pt>
                <c:pt idx="1">
                  <c:v>1.5170008718395812E-2</c:v>
                </c:pt>
                <c:pt idx="2">
                  <c:v>4.9310344827586212E-3</c:v>
                </c:pt>
                <c:pt idx="3">
                  <c:v>0.24905660377358491</c:v>
                </c:pt>
                <c:pt idx="4">
                  <c:v>1.0333333333333334</c:v>
                </c:pt>
                <c:pt idx="5">
                  <c:v>0</c:v>
                </c:pt>
                <c:pt idx="6">
                  <c:v>1.0970588235294116</c:v>
                </c:pt>
                <c:pt idx="7">
                  <c:v>0</c:v>
                </c:pt>
                <c:pt idx="8">
                  <c:v>0</c:v>
                </c:pt>
                <c:pt idx="9">
                  <c:v>5.8536585365853662E-2</c:v>
                </c:pt>
                <c:pt idx="10">
                  <c:v>6.1388888888888893</c:v>
                </c:pt>
                <c:pt idx="11">
                  <c:v>4.2105263157894736E-2</c:v>
                </c:pt>
                <c:pt idx="12">
                  <c:v>1.6307692307692308E-2</c:v>
                </c:pt>
                <c:pt idx="13">
                  <c:v>0.13900000000000001</c:v>
                </c:pt>
                <c:pt idx="14">
                  <c:v>6.4166666666666664E-2</c:v>
                </c:pt>
                <c:pt idx="15">
                  <c:v>4.553571428571429E-2</c:v>
                </c:pt>
                <c:pt idx="16">
                  <c:v>2.8464285714285715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6B-41D0-AED6-1B1F7C043F5D}"/>
            </c:ext>
          </c:extLst>
        </c:ser>
        <c:ser>
          <c:idx val="2"/>
          <c:order val="2"/>
          <c:tx>
            <c:v>20x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[1]N8010_leaching!$B$3:$B$20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[1]N8010_leaching!$O$43:$O$60</c:f>
              <c:numCache>
                <c:formatCode>General</c:formatCode>
                <c:ptCount val="18"/>
                <c:pt idx="0">
                  <c:v>0</c:v>
                </c:pt>
                <c:pt idx="1">
                  <c:v>7.585004359197906E-3</c:v>
                </c:pt>
                <c:pt idx="2">
                  <c:v>2.4655172413793106E-3</c:v>
                </c:pt>
                <c:pt idx="3">
                  <c:v>0.12452830188679245</c:v>
                </c:pt>
                <c:pt idx="4">
                  <c:v>0.51666666666666672</c:v>
                </c:pt>
                <c:pt idx="5">
                  <c:v>0</c:v>
                </c:pt>
                <c:pt idx="6">
                  <c:v>0.54852941176470582</c:v>
                </c:pt>
                <c:pt idx="7">
                  <c:v>0</c:v>
                </c:pt>
                <c:pt idx="8">
                  <c:v>0</c:v>
                </c:pt>
                <c:pt idx="9">
                  <c:v>2.9268292682926831E-2</c:v>
                </c:pt>
                <c:pt idx="10">
                  <c:v>3.0694444444444446</c:v>
                </c:pt>
                <c:pt idx="11">
                  <c:v>2.1052631578947368E-2</c:v>
                </c:pt>
                <c:pt idx="12">
                  <c:v>8.1538461538461539E-3</c:v>
                </c:pt>
                <c:pt idx="13">
                  <c:v>6.9500000000000006E-2</c:v>
                </c:pt>
                <c:pt idx="14">
                  <c:v>3.2083333333333332E-2</c:v>
                </c:pt>
                <c:pt idx="15">
                  <c:v>2.2767857142857145E-2</c:v>
                </c:pt>
                <c:pt idx="16">
                  <c:v>1.4232142857142858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6B-41D0-AED6-1B1F7C043F5D}"/>
            </c:ext>
          </c:extLst>
        </c:ser>
        <c:ser>
          <c:idx val="3"/>
          <c:order val="3"/>
          <c:tx>
            <c:v>50x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[1]N8010_leaching!$B$3:$B$20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[1]N8010_leaching!$O$63:$O$80</c:f>
              <c:numCache>
                <c:formatCode>General</c:formatCode>
                <c:ptCount val="18"/>
                <c:pt idx="0">
                  <c:v>0</c:v>
                </c:pt>
                <c:pt idx="1">
                  <c:v>3.0340017436791627E-3</c:v>
                </c:pt>
                <c:pt idx="2">
                  <c:v>9.8620689655172403E-4</c:v>
                </c:pt>
                <c:pt idx="3">
                  <c:v>4.9811320754716976E-2</c:v>
                </c:pt>
                <c:pt idx="4">
                  <c:v>0.20666666666666664</c:v>
                </c:pt>
                <c:pt idx="5">
                  <c:v>0</c:v>
                </c:pt>
                <c:pt idx="6">
                  <c:v>0.21941176470588236</c:v>
                </c:pt>
                <c:pt idx="7">
                  <c:v>0</c:v>
                </c:pt>
                <c:pt idx="8">
                  <c:v>0</c:v>
                </c:pt>
                <c:pt idx="9">
                  <c:v>1.1707317073170733E-2</c:v>
                </c:pt>
                <c:pt idx="10">
                  <c:v>1.2277777777777776</c:v>
                </c:pt>
                <c:pt idx="11">
                  <c:v>8.4210526315789472E-3</c:v>
                </c:pt>
                <c:pt idx="12">
                  <c:v>3.2615384615384616E-3</c:v>
                </c:pt>
                <c:pt idx="13">
                  <c:v>2.7800000000000002E-2</c:v>
                </c:pt>
                <c:pt idx="14">
                  <c:v>1.2833333333333334E-2</c:v>
                </c:pt>
                <c:pt idx="15">
                  <c:v>9.1071428571428571E-3</c:v>
                </c:pt>
                <c:pt idx="16">
                  <c:v>0.56928571428571428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6B-41D0-AED6-1B1F7C043F5D}"/>
            </c:ext>
          </c:extLst>
        </c:ser>
        <c:ser>
          <c:idx val="4"/>
          <c:order val="4"/>
          <c:tx>
            <c:v>60x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[1]N8010_leaching!$B$3:$B$20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[1]N8010_leaching!$O$83:$O$100</c:f>
              <c:numCache>
                <c:formatCode>General</c:formatCode>
                <c:ptCount val="18"/>
                <c:pt idx="0">
                  <c:v>0</c:v>
                </c:pt>
                <c:pt idx="1">
                  <c:v>2.5283347863993022E-3</c:v>
                </c:pt>
                <c:pt idx="2">
                  <c:v>8.2183908045977013E-4</c:v>
                </c:pt>
                <c:pt idx="3">
                  <c:v>4.1509433962264156E-2</c:v>
                </c:pt>
                <c:pt idx="4">
                  <c:v>0.17222222222222222</c:v>
                </c:pt>
                <c:pt idx="5">
                  <c:v>0</c:v>
                </c:pt>
                <c:pt idx="6">
                  <c:v>0.18284313725490198</c:v>
                </c:pt>
                <c:pt idx="7">
                  <c:v>0</c:v>
                </c:pt>
                <c:pt idx="8">
                  <c:v>0</c:v>
                </c:pt>
                <c:pt idx="9">
                  <c:v>9.7560975609756115E-3</c:v>
                </c:pt>
                <c:pt idx="10">
                  <c:v>1.0231481481481481</c:v>
                </c:pt>
                <c:pt idx="11">
                  <c:v>7.0175438596491221E-3</c:v>
                </c:pt>
                <c:pt idx="12">
                  <c:v>2.7179487179487182E-3</c:v>
                </c:pt>
                <c:pt idx="13">
                  <c:v>2.3166666666666665E-2</c:v>
                </c:pt>
                <c:pt idx="14">
                  <c:v>1.0694444444444446E-2</c:v>
                </c:pt>
                <c:pt idx="15">
                  <c:v>7.5892857142857142E-3</c:v>
                </c:pt>
                <c:pt idx="16">
                  <c:v>0.47440476190476188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C6B-41D0-AED6-1B1F7C043F5D}"/>
            </c:ext>
          </c:extLst>
        </c:ser>
        <c:ser>
          <c:idx val="5"/>
          <c:order val="5"/>
          <c:tx>
            <c:v>70x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[1]N8010_leaching!$B$3:$B$20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[1]N8010_leaching!$O$103:$O$120</c:f>
              <c:numCache>
                <c:formatCode>General</c:formatCode>
                <c:ptCount val="18"/>
                <c:pt idx="0">
                  <c:v>0</c:v>
                </c:pt>
                <c:pt idx="1">
                  <c:v>2.1671441026279736E-3</c:v>
                </c:pt>
                <c:pt idx="2">
                  <c:v>7.0443349753694575E-4</c:v>
                </c:pt>
                <c:pt idx="3">
                  <c:v>3.5579514824797841E-2</c:v>
                </c:pt>
                <c:pt idx="4">
                  <c:v>0.14761904761904762</c:v>
                </c:pt>
                <c:pt idx="5">
                  <c:v>0</c:v>
                </c:pt>
                <c:pt idx="6">
                  <c:v>0.15672268907563025</c:v>
                </c:pt>
                <c:pt idx="7">
                  <c:v>0</c:v>
                </c:pt>
                <c:pt idx="8">
                  <c:v>0</c:v>
                </c:pt>
                <c:pt idx="9">
                  <c:v>8.3623693379790958E-3</c:v>
                </c:pt>
                <c:pt idx="10">
                  <c:v>0.87698412698412698</c:v>
                </c:pt>
                <c:pt idx="11">
                  <c:v>6.0150375939849628E-3</c:v>
                </c:pt>
                <c:pt idx="12">
                  <c:v>2.3296703296703299E-3</c:v>
                </c:pt>
                <c:pt idx="13">
                  <c:v>1.9857142857142858E-2</c:v>
                </c:pt>
                <c:pt idx="14">
                  <c:v>9.1666666666666684E-3</c:v>
                </c:pt>
                <c:pt idx="15">
                  <c:v>6.5051020408163265E-3</c:v>
                </c:pt>
                <c:pt idx="16">
                  <c:v>0.40663265306122448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C6B-41D0-AED6-1B1F7C043F5D}"/>
            </c:ext>
          </c:extLst>
        </c:ser>
        <c:ser>
          <c:idx val="6"/>
          <c:order val="6"/>
          <c:tx>
            <c:v>80x</c:v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[1]N8010_leaching!$B$3:$B$20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[1]N8010_leaching!$O$123:$O$140</c:f>
              <c:numCache>
                <c:formatCode>General</c:formatCode>
                <c:ptCount val="18"/>
                <c:pt idx="0">
                  <c:v>0</c:v>
                </c:pt>
                <c:pt idx="1">
                  <c:v>1.8962510897994765E-3</c:v>
                </c:pt>
                <c:pt idx="2">
                  <c:v>6.1637931034482765E-4</c:v>
                </c:pt>
                <c:pt idx="3">
                  <c:v>3.1132075471698113E-2</c:v>
                </c:pt>
                <c:pt idx="4">
                  <c:v>0.12916666666666668</c:v>
                </c:pt>
                <c:pt idx="5">
                  <c:v>0</c:v>
                </c:pt>
                <c:pt idx="6">
                  <c:v>0.13713235294117646</c:v>
                </c:pt>
                <c:pt idx="7">
                  <c:v>0</c:v>
                </c:pt>
                <c:pt idx="8">
                  <c:v>0</c:v>
                </c:pt>
                <c:pt idx="9">
                  <c:v>7.3170731707317077E-3</c:v>
                </c:pt>
                <c:pt idx="10">
                  <c:v>0.76736111111111116</c:v>
                </c:pt>
                <c:pt idx="11">
                  <c:v>5.263157894736842E-3</c:v>
                </c:pt>
                <c:pt idx="12">
                  <c:v>2.0384615384615385E-3</c:v>
                </c:pt>
                <c:pt idx="13">
                  <c:v>1.7375000000000002E-2</c:v>
                </c:pt>
                <c:pt idx="14">
                  <c:v>8.0208333333333329E-3</c:v>
                </c:pt>
                <c:pt idx="15">
                  <c:v>5.6919642857142863E-3</c:v>
                </c:pt>
                <c:pt idx="16">
                  <c:v>0.35580357142857144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C6B-41D0-AED6-1B1F7C043F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0830320"/>
        <c:axId val="676998752"/>
      </c:barChart>
      <c:lineChart>
        <c:grouping val="standard"/>
        <c:varyColors val="0"/>
        <c:ser>
          <c:idx val="7"/>
          <c:order val="7"/>
          <c:tx>
            <c:v>threshold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[1]N8010_leaching!$B$3:$B$20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[1]N8010_leaching!$S$3:$S$20</c:f>
              <c:numCache>
                <c:formatCode>General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C6B-41D0-AED6-1B1F7C043F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830320"/>
        <c:axId val="676998752"/>
      </c:lineChart>
      <c:catAx>
        <c:axId val="670830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Chemicals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676998752"/>
        <c:crosses val="autoZero"/>
        <c:auto val="1"/>
        <c:lblAlgn val="ctr"/>
        <c:lblOffset val="100"/>
        <c:noMultiLvlLbl val="0"/>
      </c:catAx>
      <c:valAx>
        <c:axId val="67699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PEC/PNEC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670830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N8010: PEC/PNEC leaching in days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leaching data day 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[1]N8012_leaching!$B$3:$B$20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[1]N8012_leaching!$O$3:$O$20</c:f>
              <c:numCache>
                <c:formatCode>General</c:formatCode>
                <c:ptCount val="18"/>
                <c:pt idx="0">
                  <c:v>0</c:v>
                </c:pt>
                <c:pt idx="1">
                  <c:v>0.14908456843940715</c:v>
                </c:pt>
                <c:pt idx="2">
                  <c:v>2.0344827586206895E-2</c:v>
                </c:pt>
                <c:pt idx="3">
                  <c:v>2.3584905660377355</c:v>
                </c:pt>
                <c:pt idx="4">
                  <c:v>8.9841269841269842</c:v>
                </c:pt>
                <c:pt idx="5">
                  <c:v>1.5757575757575758E-3</c:v>
                </c:pt>
                <c:pt idx="6">
                  <c:v>10.029411764705882</c:v>
                </c:pt>
                <c:pt idx="7">
                  <c:v>0</c:v>
                </c:pt>
                <c:pt idx="8">
                  <c:v>1.7729729729729728</c:v>
                </c:pt>
                <c:pt idx="9">
                  <c:v>0.24390243902439027</c:v>
                </c:pt>
                <c:pt idx="10">
                  <c:v>38.194444444444443</c:v>
                </c:pt>
                <c:pt idx="11">
                  <c:v>0.49473684210526314</c:v>
                </c:pt>
                <c:pt idx="12">
                  <c:v>6.5384615384615388E-2</c:v>
                </c:pt>
                <c:pt idx="13">
                  <c:v>3.18</c:v>
                </c:pt>
                <c:pt idx="14">
                  <c:v>0</c:v>
                </c:pt>
                <c:pt idx="15">
                  <c:v>0.40357142857142858</c:v>
                </c:pt>
                <c:pt idx="16">
                  <c:v>95.714285714285708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69-4EA7-81CA-601B86286B58}"/>
            </c:ext>
          </c:extLst>
        </c:ser>
        <c:ser>
          <c:idx val="1"/>
          <c:order val="1"/>
          <c:tx>
            <c:v>leaching data day 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[1]N8012_leaching!$B$3:$B$20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[1]N8012_leaching!$P$3:$P$20</c:f>
              <c:numCache>
                <c:formatCode>General</c:formatCode>
                <c:ptCount val="18"/>
                <c:pt idx="0">
                  <c:v>0</c:v>
                </c:pt>
                <c:pt idx="1">
                  <c:v>0.15518744551002617</c:v>
                </c:pt>
                <c:pt idx="2">
                  <c:v>2.2758620689655173E-2</c:v>
                </c:pt>
                <c:pt idx="3">
                  <c:v>3.0188679245283021</c:v>
                </c:pt>
                <c:pt idx="4">
                  <c:v>4.4285714285714288</c:v>
                </c:pt>
                <c:pt idx="5">
                  <c:v>0</c:v>
                </c:pt>
                <c:pt idx="6">
                  <c:v>12.147058823529411</c:v>
                </c:pt>
                <c:pt idx="7">
                  <c:v>0</c:v>
                </c:pt>
                <c:pt idx="8">
                  <c:v>2.8648648648648649</c:v>
                </c:pt>
                <c:pt idx="9">
                  <c:v>0</c:v>
                </c:pt>
                <c:pt idx="10">
                  <c:v>53.680555555555557</c:v>
                </c:pt>
                <c:pt idx="11">
                  <c:v>0</c:v>
                </c:pt>
                <c:pt idx="12">
                  <c:v>0</c:v>
                </c:pt>
                <c:pt idx="13">
                  <c:v>2.9950000000000001</c:v>
                </c:pt>
                <c:pt idx="14">
                  <c:v>0</c:v>
                </c:pt>
                <c:pt idx="15">
                  <c:v>0.36607142857142855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69-4EA7-81CA-601B86286B58}"/>
            </c:ext>
          </c:extLst>
        </c:ser>
        <c:ser>
          <c:idx val="2"/>
          <c:order val="2"/>
          <c:tx>
            <c:v>leaching data day 6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[1]N8012_leaching!$B$3:$B$20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[1]N8012_leaching!$Q$3:$Q$20</c:f>
              <c:numCache>
                <c:formatCode>General</c:formatCode>
                <c:ptCount val="18"/>
                <c:pt idx="0">
                  <c:v>0</c:v>
                </c:pt>
                <c:pt idx="1">
                  <c:v>5.2659110723626855E-2</c:v>
                </c:pt>
                <c:pt idx="2">
                  <c:v>1.1379310344827587E-2</c:v>
                </c:pt>
                <c:pt idx="3">
                  <c:v>0.64150943396226412</c:v>
                </c:pt>
                <c:pt idx="4">
                  <c:v>5.7460317460317469</c:v>
                </c:pt>
                <c:pt idx="5">
                  <c:v>0</c:v>
                </c:pt>
                <c:pt idx="6">
                  <c:v>3.4705882352941178</c:v>
                </c:pt>
                <c:pt idx="7">
                  <c:v>0</c:v>
                </c:pt>
                <c:pt idx="8">
                  <c:v>1.4405405405405405</c:v>
                </c:pt>
                <c:pt idx="9">
                  <c:v>0</c:v>
                </c:pt>
                <c:pt idx="10">
                  <c:v>20</c:v>
                </c:pt>
                <c:pt idx="11">
                  <c:v>0</c:v>
                </c:pt>
                <c:pt idx="12">
                  <c:v>0</c:v>
                </c:pt>
                <c:pt idx="13">
                  <c:v>1.2849999999999999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69-4EA7-81CA-601B86286B58}"/>
            </c:ext>
          </c:extLst>
        </c:ser>
        <c:ser>
          <c:idx val="3"/>
          <c:order val="3"/>
          <c:tx>
            <c:v>leaching data day 13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[1]N8012_leaching!$B$3:$B$20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[1]N8012_leaching!$R$3:$R$20</c:f>
              <c:numCache>
                <c:formatCode>General</c:formatCode>
                <c:ptCount val="18"/>
                <c:pt idx="0">
                  <c:v>0.46666666666666662</c:v>
                </c:pt>
                <c:pt idx="1">
                  <c:v>3.5396687009590234E-2</c:v>
                </c:pt>
                <c:pt idx="2">
                  <c:v>0</c:v>
                </c:pt>
                <c:pt idx="3">
                  <c:v>0</c:v>
                </c:pt>
                <c:pt idx="4">
                  <c:v>1.6984126984126984</c:v>
                </c:pt>
                <c:pt idx="5">
                  <c:v>0</c:v>
                </c:pt>
                <c:pt idx="6">
                  <c:v>1.6588235294117646</c:v>
                </c:pt>
                <c:pt idx="7">
                  <c:v>0</c:v>
                </c:pt>
                <c:pt idx="8">
                  <c:v>1.2729729729729731</c:v>
                </c:pt>
                <c:pt idx="9">
                  <c:v>0</c:v>
                </c:pt>
                <c:pt idx="10">
                  <c:v>17.291666666666668</c:v>
                </c:pt>
                <c:pt idx="11">
                  <c:v>0</c:v>
                </c:pt>
                <c:pt idx="12">
                  <c:v>0</c:v>
                </c:pt>
                <c:pt idx="13">
                  <c:v>0.9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E69-4EA7-81CA-601B86286B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5060607"/>
        <c:axId val="1055071839"/>
      </c:barChart>
      <c:lineChart>
        <c:grouping val="standard"/>
        <c:varyColors val="0"/>
        <c:ser>
          <c:idx val="4"/>
          <c:order val="4"/>
          <c:tx>
            <c:v>threshold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[1]N8012_leaching!$S$3:$S$20</c:f>
              <c:numCache>
                <c:formatCode>General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E69-4EA7-81CA-601B86286B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5060607"/>
        <c:axId val="1055071839"/>
      </c:lineChart>
      <c:catAx>
        <c:axId val="10550606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Chemicals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1055071839"/>
        <c:crosses val="autoZero"/>
        <c:auto val="1"/>
        <c:lblAlgn val="ctr"/>
        <c:lblOffset val="100"/>
        <c:noMultiLvlLbl val="0"/>
      </c:catAx>
      <c:valAx>
        <c:axId val="1055071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PEC/PNEC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10550606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Comaprison leaching with</a:t>
            </a:r>
            <a:r>
              <a:rPr lang="en-GB" baseline="0"/>
              <a:t> dilution factors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Raw data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('[2]ERA_8010 (2)'!$E$113,'[2]ERA_8010 (2)'!$E$119)</c:f>
              <c:strCache>
                <c:ptCount val="2"/>
                <c:pt idx="0">
                  <c:v>Zn</c:v>
                </c:pt>
                <c:pt idx="1">
                  <c:v>Styrene</c:v>
                </c:pt>
              </c:strCache>
            </c:strRef>
          </c:cat>
          <c:val>
            <c:numRef>
              <c:f>'[2]ERA_8010 (2)'!$O$11</c:f>
              <c:numCache>
                <c:formatCode>General</c:formatCode>
                <c:ptCount val="1"/>
                <c:pt idx="0">
                  <c:v>61.388888888888886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D4-4D3F-A308-D7E0BA498B50}"/>
            </c:ext>
          </c:extLst>
        </c:ser>
        <c:ser>
          <c:idx val="1"/>
          <c:order val="1"/>
          <c:tx>
            <c:v>10x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('[2]ERA_8010 (2)'!$E$113,'[2]ERA_8010 (2)'!$E$119)</c:f>
              <c:strCache>
                <c:ptCount val="2"/>
                <c:pt idx="0">
                  <c:v>Zn</c:v>
                </c:pt>
                <c:pt idx="1">
                  <c:v>Styrene</c:v>
                </c:pt>
              </c:strCache>
            </c:strRef>
          </c:cat>
          <c:val>
            <c:numRef>
              <c:f>('[2]ERA_8010 (2)'!$O$28,'[2]ERA_8010 (2)'!$O$34)</c:f>
              <c:numCache>
                <c:formatCode>General</c:formatCode>
                <c:ptCount val="2"/>
                <c:pt idx="0">
                  <c:v>6.1388888888888893</c:v>
                </c:pt>
                <c:pt idx="1">
                  <c:v>2.8464285714285715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D4-4D3F-A308-D7E0BA498B50}"/>
            </c:ext>
          </c:extLst>
        </c:ser>
        <c:ser>
          <c:idx val="2"/>
          <c:order val="2"/>
          <c:tx>
            <c:v>20x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('[2]ERA_8010 (2)'!$E$113,'[2]ERA_8010 (2)'!$E$119)</c:f>
              <c:strCache>
                <c:ptCount val="2"/>
                <c:pt idx="0">
                  <c:v>Zn</c:v>
                </c:pt>
                <c:pt idx="1">
                  <c:v>Styrene</c:v>
                </c:pt>
              </c:strCache>
            </c:strRef>
          </c:cat>
          <c:val>
            <c:numRef>
              <c:f>('[2]ERA_8010 (2)'!$O$45,'[2]ERA_8010 (2)'!$O$51)</c:f>
              <c:numCache>
                <c:formatCode>General</c:formatCode>
                <c:ptCount val="2"/>
                <c:pt idx="0">
                  <c:v>3.0694444444444446</c:v>
                </c:pt>
                <c:pt idx="1">
                  <c:v>1.4232142857142858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D4-4D3F-A308-D7E0BA498B50}"/>
            </c:ext>
          </c:extLst>
        </c:ser>
        <c:ser>
          <c:idx val="3"/>
          <c:order val="3"/>
          <c:tx>
            <c:v>50x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('[2]ERA_8010 (2)'!$E$113,'[2]ERA_8010 (2)'!$E$119)</c:f>
              <c:strCache>
                <c:ptCount val="2"/>
                <c:pt idx="0">
                  <c:v>Zn</c:v>
                </c:pt>
                <c:pt idx="1">
                  <c:v>Styrene</c:v>
                </c:pt>
              </c:strCache>
            </c:strRef>
          </c:cat>
          <c:val>
            <c:numRef>
              <c:f>('[2]ERA_8010 (2)'!$O$62,'[2]ERA_8010 (2)'!$O$68)</c:f>
              <c:numCache>
                <c:formatCode>General</c:formatCode>
                <c:ptCount val="2"/>
                <c:pt idx="0">
                  <c:v>1.2277777777777776</c:v>
                </c:pt>
                <c:pt idx="1">
                  <c:v>0.56928571428571428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5D4-4D3F-A308-D7E0BA498B50}"/>
            </c:ext>
          </c:extLst>
        </c:ser>
        <c:ser>
          <c:idx val="4"/>
          <c:order val="4"/>
          <c:tx>
            <c:v>60x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('[2]ERA_8010 (2)'!$E$113,'[2]ERA_8010 (2)'!$E$119)</c:f>
              <c:strCache>
                <c:ptCount val="2"/>
                <c:pt idx="0">
                  <c:v>Zn</c:v>
                </c:pt>
                <c:pt idx="1">
                  <c:v>Styrene</c:v>
                </c:pt>
              </c:strCache>
            </c:strRef>
          </c:cat>
          <c:val>
            <c:numRef>
              <c:f>('[2]ERA_8010 (2)'!$O$79,'[2]ERA_8010 (2)'!$O$85)</c:f>
              <c:numCache>
                <c:formatCode>General</c:formatCode>
                <c:ptCount val="2"/>
                <c:pt idx="0">
                  <c:v>1.0231481481481481</c:v>
                </c:pt>
                <c:pt idx="1">
                  <c:v>0.47440476190476188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5D4-4D3F-A308-D7E0BA498B50}"/>
            </c:ext>
          </c:extLst>
        </c:ser>
        <c:ser>
          <c:idx val="5"/>
          <c:order val="5"/>
          <c:tx>
            <c:v>70x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('[2]ERA_8010 (2)'!$E$113,'[2]ERA_8010 (2)'!$E$119)</c:f>
              <c:strCache>
                <c:ptCount val="2"/>
                <c:pt idx="0">
                  <c:v>Zn</c:v>
                </c:pt>
                <c:pt idx="1">
                  <c:v>Styrene</c:v>
                </c:pt>
              </c:strCache>
            </c:strRef>
          </c:cat>
          <c:val>
            <c:numRef>
              <c:f>('[2]ERA_8010 (2)'!$O$96,'[2]ERA_8010 (2)'!$O$102)</c:f>
              <c:numCache>
                <c:formatCode>General</c:formatCode>
                <c:ptCount val="2"/>
                <c:pt idx="0">
                  <c:v>0.87698412698412698</c:v>
                </c:pt>
                <c:pt idx="1">
                  <c:v>0.40663265306122448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5D4-4D3F-A308-D7E0BA498B50}"/>
            </c:ext>
          </c:extLst>
        </c:ser>
        <c:ser>
          <c:idx val="6"/>
          <c:order val="6"/>
          <c:tx>
            <c:v>80x</c:v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('[2]ERA_8010 (2)'!$E$113,'[2]ERA_8010 (2)'!$E$119)</c:f>
              <c:strCache>
                <c:ptCount val="2"/>
                <c:pt idx="0">
                  <c:v>Zn</c:v>
                </c:pt>
                <c:pt idx="1">
                  <c:v>Styrene</c:v>
                </c:pt>
              </c:strCache>
            </c:strRef>
          </c:cat>
          <c:val>
            <c:numRef>
              <c:f>('[2]ERA_8010 (2)'!$O$113,'[2]ERA_8010 (2)'!$O$119)</c:f>
              <c:numCache>
                <c:formatCode>General</c:formatCode>
                <c:ptCount val="2"/>
                <c:pt idx="0">
                  <c:v>0.76736111111111116</c:v>
                </c:pt>
                <c:pt idx="1">
                  <c:v>0.35580357142857144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5D4-4D3F-A308-D7E0BA498B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285807824"/>
        <c:axId val="1285812400"/>
      </c:barChart>
      <c:lineChart>
        <c:grouping val="standard"/>
        <c:varyColors val="0"/>
        <c:ser>
          <c:idx val="7"/>
          <c:order val="7"/>
          <c:tx>
            <c:v>Threshold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('[2]ERA_8010 (2)'!$S$11,'[2]ERA_8010 (2)'!$S$17)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5D4-4D3F-A308-D7E0BA498B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5807824"/>
        <c:axId val="1285812400"/>
      </c:lineChart>
      <c:catAx>
        <c:axId val="12858078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Chemicals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1285812400"/>
        <c:crosses val="autoZero"/>
        <c:auto val="1"/>
        <c:lblAlgn val="ctr"/>
        <c:lblOffset val="100"/>
        <c:noMultiLvlLbl val="0"/>
      </c:catAx>
      <c:valAx>
        <c:axId val="1285812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PEC/PNEC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1285807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M1</a:t>
            </a:r>
            <a:r>
              <a:rPr lang="en-GB" baseline="0"/>
              <a:t> dilution factors 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leaching day 1+N8010_leaching!$O$3:$O$4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[1]N8012_leaching!$B$3:$B$20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[1]N8012_leaching!$O$3:$O$20</c:f>
              <c:numCache>
                <c:formatCode>General</c:formatCode>
                <c:ptCount val="18"/>
                <c:pt idx="0">
                  <c:v>0</c:v>
                </c:pt>
                <c:pt idx="1">
                  <c:v>0.14908456843940715</c:v>
                </c:pt>
                <c:pt idx="2">
                  <c:v>2.0344827586206895E-2</c:v>
                </c:pt>
                <c:pt idx="3">
                  <c:v>2.3584905660377355</c:v>
                </c:pt>
                <c:pt idx="4">
                  <c:v>8.9841269841269842</c:v>
                </c:pt>
                <c:pt idx="5">
                  <c:v>1.5757575757575758E-3</c:v>
                </c:pt>
                <c:pt idx="6">
                  <c:v>10.029411764705882</c:v>
                </c:pt>
                <c:pt idx="7">
                  <c:v>0</c:v>
                </c:pt>
                <c:pt idx="8">
                  <c:v>1.7729729729729728</c:v>
                </c:pt>
                <c:pt idx="9">
                  <c:v>0.24390243902439027</c:v>
                </c:pt>
                <c:pt idx="10">
                  <c:v>38.194444444444443</c:v>
                </c:pt>
                <c:pt idx="11">
                  <c:v>0.49473684210526314</c:v>
                </c:pt>
                <c:pt idx="12">
                  <c:v>6.5384615384615388E-2</c:v>
                </c:pt>
                <c:pt idx="13">
                  <c:v>3.18</c:v>
                </c:pt>
                <c:pt idx="14">
                  <c:v>0</c:v>
                </c:pt>
                <c:pt idx="15">
                  <c:v>0.40357142857142858</c:v>
                </c:pt>
                <c:pt idx="16">
                  <c:v>95.714285714285708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6B-40E1-A2A3-AF07EAD2EDC1}"/>
            </c:ext>
          </c:extLst>
        </c:ser>
        <c:ser>
          <c:idx val="1"/>
          <c:order val="1"/>
          <c:tx>
            <c:v>10 x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[1]N8012_leaching!$B$3:$B$20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[1]N8012_leaching!$O$23:$O$40</c:f>
              <c:numCache>
                <c:formatCode>General</c:formatCode>
                <c:ptCount val="18"/>
                <c:pt idx="0">
                  <c:v>0</c:v>
                </c:pt>
                <c:pt idx="1">
                  <c:v>1.4908456843940716E-2</c:v>
                </c:pt>
                <c:pt idx="2">
                  <c:v>2.0344827586206899E-3</c:v>
                </c:pt>
                <c:pt idx="3">
                  <c:v>0.23584905660377356</c:v>
                </c:pt>
                <c:pt idx="4">
                  <c:v>0.89841269841269844</c:v>
                </c:pt>
                <c:pt idx="5">
                  <c:v>1.5757575757575757E-4</c:v>
                </c:pt>
                <c:pt idx="6">
                  <c:v>1.0029411764705882</c:v>
                </c:pt>
                <c:pt idx="7">
                  <c:v>0</c:v>
                </c:pt>
                <c:pt idx="8">
                  <c:v>0.17729729729729729</c:v>
                </c:pt>
                <c:pt idx="9">
                  <c:v>2.4390243902439029E-2</c:v>
                </c:pt>
                <c:pt idx="10">
                  <c:v>3.8194444444444442</c:v>
                </c:pt>
                <c:pt idx="11">
                  <c:v>4.9473684210526316E-2</c:v>
                </c:pt>
                <c:pt idx="12">
                  <c:v>6.5384615384615381E-3</c:v>
                </c:pt>
                <c:pt idx="13">
                  <c:v>0.318</c:v>
                </c:pt>
                <c:pt idx="14">
                  <c:v>0</c:v>
                </c:pt>
                <c:pt idx="15">
                  <c:v>4.0357142857142855E-2</c:v>
                </c:pt>
                <c:pt idx="16">
                  <c:v>9.5714285714285712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6B-40E1-A2A3-AF07EAD2EDC1}"/>
            </c:ext>
          </c:extLst>
        </c:ser>
        <c:ser>
          <c:idx val="2"/>
          <c:order val="2"/>
          <c:tx>
            <c:v>20x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[1]N8012_leaching!$B$3:$B$20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[1]N8012_leaching!$O$43:$O$60</c:f>
              <c:numCache>
                <c:formatCode>General</c:formatCode>
                <c:ptCount val="18"/>
                <c:pt idx="0">
                  <c:v>0</c:v>
                </c:pt>
                <c:pt idx="1">
                  <c:v>7.4542284219703582E-3</c:v>
                </c:pt>
                <c:pt idx="2">
                  <c:v>1.017241379310345E-3</c:v>
                </c:pt>
                <c:pt idx="3">
                  <c:v>0.11792452830188678</c:v>
                </c:pt>
                <c:pt idx="4">
                  <c:v>0.44920634920634922</c:v>
                </c:pt>
                <c:pt idx="5">
                  <c:v>7.8787878787878787E-5</c:v>
                </c:pt>
                <c:pt idx="6">
                  <c:v>0.50147058823529411</c:v>
                </c:pt>
                <c:pt idx="7">
                  <c:v>0</c:v>
                </c:pt>
                <c:pt idx="8">
                  <c:v>8.8648648648648645E-2</c:v>
                </c:pt>
                <c:pt idx="9">
                  <c:v>1.2195121951219514E-2</c:v>
                </c:pt>
                <c:pt idx="10">
                  <c:v>1.9097222222222221</c:v>
                </c:pt>
                <c:pt idx="11">
                  <c:v>2.4736842105263158E-2</c:v>
                </c:pt>
                <c:pt idx="12">
                  <c:v>3.2692307692307691E-3</c:v>
                </c:pt>
                <c:pt idx="13">
                  <c:v>0.159</c:v>
                </c:pt>
                <c:pt idx="14">
                  <c:v>0</c:v>
                </c:pt>
                <c:pt idx="15">
                  <c:v>2.0178571428571428E-2</c:v>
                </c:pt>
                <c:pt idx="16">
                  <c:v>4.7857142857142856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6B-40E1-A2A3-AF07EAD2EDC1}"/>
            </c:ext>
          </c:extLst>
        </c:ser>
        <c:ser>
          <c:idx val="3"/>
          <c:order val="3"/>
          <c:tx>
            <c:v>50x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[1]N8012_leaching!$B$3:$B$20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[1]N8012_leaching!$O$63:$O$80</c:f>
              <c:numCache>
                <c:formatCode>General</c:formatCode>
                <c:ptCount val="18"/>
                <c:pt idx="0">
                  <c:v>0</c:v>
                </c:pt>
                <c:pt idx="1">
                  <c:v>2.9816913687881431E-3</c:v>
                </c:pt>
                <c:pt idx="2">
                  <c:v>4.0689655172413791E-4</c:v>
                </c:pt>
                <c:pt idx="3">
                  <c:v>4.716981132075472E-2</c:v>
                </c:pt>
                <c:pt idx="4">
                  <c:v>0.17968253968253969</c:v>
                </c:pt>
                <c:pt idx="5">
                  <c:v>3.1515151515151519E-5</c:v>
                </c:pt>
                <c:pt idx="6">
                  <c:v>0.20058823529411765</c:v>
                </c:pt>
                <c:pt idx="7">
                  <c:v>0</c:v>
                </c:pt>
                <c:pt idx="8">
                  <c:v>3.5459459459459455E-2</c:v>
                </c:pt>
                <c:pt idx="9">
                  <c:v>4.8780487804878057E-3</c:v>
                </c:pt>
                <c:pt idx="10">
                  <c:v>0.76388888888888884</c:v>
                </c:pt>
                <c:pt idx="11">
                  <c:v>9.8947368421052635E-3</c:v>
                </c:pt>
                <c:pt idx="12">
                  <c:v>1.3076923076923079E-3</c:v>
                </c:pt>
                <c:pt idx="13">
                  <c:v>6.3600000000000004E-2</c:v>
                </c:pt>
                <c:pt idx="14">
                  <c:v>0</c:v>
                </c:pt>
                <c:pt idx="15">
                  <c:v>8.0714285714285714E-3</c:v>
                </c:pt>
                <c:pt idx="16">
                  <c:v>1.9142857142857144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06B-40E1-A2A3-AF07EAD2EDC1}"/>
            </c:ext>
          </c:extLst>
        </c:ser>
        <c:ser>
          <c:idx val="4"/>
          <c:order val="4"/>
          <c:tx>
            <c:v>60x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[1]N8012_leaching!$B$3:$B$20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[1]N8012_leaching!$O$83:$O$100</c:f>
              <c:numCache>
                <c:formatCode>General</c:formatCode>
                <c:ptCount val="18"/>
                <c:pt idx="0">
                  <c:v>0</c:v>
                </c:pt>
                <c:pt idx="1">
                  <c:v>2.4847428073234527E-3</c:v>
                </c:pt>
                <c:pt idx="2">
                  <c:v>3.3908045977011495E-4</c:v>
                </c:pt>
                <c:pt idx="3">
                  <c:v>3.9308176100628929E-2</c:v>
                </c:pt>
                <c:pt idx="4">
                  <c:v>0.14973544973544975</c:v>
                </c:pt>
                <c:pt idx="5">
                  <c:v>2.6262626262626265E-5</c:v>
                </c:pt>
                <c:pt idx="6">
                  <c:v>0.16715686274509806</c:v>
                </c:pt>
                <c:pt idx="7">
                  <c:v>0</c:v>
                </c:pt>
                <c:pt idx="8">
                  <c:v>2.9549549549549546E-2</c:v>
                </c:pt>
                <c:pt idx="9">
                  <c:v>4.0650406504065045E-3</c:v>
                </c:pt>
                <c:pt idx="10">
                  <c:v>0.63657407407407407</c:v>
                </c:pt>
                <c:pt idx="11">
                  <c:v>8.2456140350877193E-3</c:v>
                </c:pt>
                <c:pt idx="12">
                  <c:v>1.0897435897435897E-3</c:v>
                </c:pt>
                <c:pt idx="13">
                  <c:v>5.3000000000000005E-2</c:v>
                </c:pt>
                <c:pt idx="14">
                  <c:v>0</c:v>
                </c:pt>
                <c:pt idx="15">
                  <c:v>6.7261904761904759E-3</c:v>
                </c:pt>
                <c:pt idx="16">
                  <c:v>1.5952380952380951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06B-40E1-A2A3-AF07EAD2EDC1}"/>
            </c:ext>
          </c:extLst>
        </c:ser>
        <c:ser>
          <c:idx val="5"/>
          <c:order val="5"/>
          <c:tx>
            <c:v>70x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[1]N8012_leaching!$B$3:$B$20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[1]N8012_leaching!$O$103:$O$120</c:f>
              <c:numCache>
                <c:formatCode>General</c:formatCode>
                <c:ptCount val="18"/>
                <c:pt idx="0">
                  <c:v>0</c:v>
                </c:pt>
                <c:pt idx="1">
                  <c:v>2.1297795491343877E-3</c:v>
                </c:pt>
                <c:pt idx="2">
                  <c:v>2.9064039408866995E-4</c:v>
                </c:pt>
                <c:pt idx="3">
                  <c:v>3.3692722371967652E-2</c:v>
                </c:pt>
                <c:pt idx="4">
                  <c:v>0.12834467120181406</c:v>
                </c:pt>
                <c:pt idx="5">
                  <c:v>2.2510822510822512E-5</c:v>
                </c:pt>
                <c:pt idx="6">
                  <c:v>0.14327731092436974</c:v>
                </c:pt>
                <c:pt idx="7">
                  <c:v>0</c:v>
                </c:pt>
                <c:pt idx="8">
                  <c:v>2.5328185328185326E-2</c:v>
                </c:pt>
                <c:pt idx="9">
                  <c:v>3.4843205574912892E-3</c:v>
                </c:pt>
                <c:pt idx="10">
                  <c:v>0.54563492063492058</c:v>
                </c:pt>
                <c:pt idx="11">
                  <c:v>7.0676691729323303E-3</c:v>
                </c:pt>
                <c:pt idx="12">
                  <c:v>9.3406593406593407E-4</c:v>
                </c:pt>
                <c:pt idx="13">
                  <c:v>4.5428571428571429E-2</c:v>
                </c:pt>
                <c:pt idx="14">
                  <c:v>0</c:v>
                </c:pt>
                <c:pt idx="15">
                  <c:v>5.7653061224489802E-3</c:v>
                </c:pt>
                <c:pt idx="16">
                  <c:v>1.3673469387755102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06B-40E1-A2A3-AF07EAD2EDC1}"/>
            </c:ext>
          </c:extLst>
        </c:ser>
        <c:ser>
          <c:idx val="6"/>
          <c:order val="6"/>
          <c:tx>
            <c:v>80x</c:v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[1]N8012_leaching!$B$3:$B$20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[1]N8012_leaching!$O$123:$O$140</c:f>
              <c:numCache>
                <c:formatCode>General</c:formatCode>
                <c:ptCount val="18"/>
                <c:pt idx="0">
                  <c:v>0</c:v>
                </c:pt>
                <c:pt idx="1">
                  <c:v>1.8635571054925896E-3</c:v>
                </c:pt>
                <c:pt idx="2">
                  <c:v>2.5431034482758624E-4</c:v>
                </c:pt>
                <c:pt idx="3">
                  <c:v>2.9481132075471695E-2</c:v>
                </c:pt>
                <c:pt idx="4">
                  <c:v>0.11230158730158731</c:v>
                </c:pt>
                <c:pt idx="5">
                  <c:v>1.9696969696969697E-5</c:v>
                </c:pt>
                <c:pt idx="6">
                  <c:v>0.12536764705882353</c:v>
                </c:pt>
                <c:pt idx="7">
                  <c:v>0</c:v>
                </c:pt>
                <c:pt idx="8">
                  <c:v>2.2162162162162161E-2</c:v>
                </c:pt>
                <c:pt idx="9">
                  <c:v>3.0487804878048786E-3</c:v>
                </c:pt>
                <c:pt idx="10">
                  <c:v>0.47743055555555552</c:v>
                </c:pt>
                <c:pt idx="11">
                  <c:v>6.1842105263157894E-3</c:v>
                </c:pt>
                <c:pt idx="12">
                  <c:v>8.1730769230769227E-4</c:v>
                </c:pt>
                <c:pt idx="13">
                  <c:v>3.9750000000000001E-2</c:v>
                </c:pt>
                <c:pt idx="14">
                  <c:v>0</c:v>
                </c:pt>
                <c:pt idx="15">
                  <c:v>5.0446428571428569E-3</c:v>
                </c:pt>
                <c:pt idx="16">
                  <c:v>1.1964285714285714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06B-40E1-A2A3-AF07EAD2ED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0830320"/>
        <c:axId val="676998752"/>
      </c:barChart>
      <c:lineChart>
        <c:grouping val="standard"/>
        <c:varyColors val="0"/>
        <c:ser>
          <c:idx val="7"/>
          <c:order val="7"/>
          <c:tx>
            <c:v>threshold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[1]N8012_leaching!$B$3:$B$20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[1]N8012_leaching!$S$3:$S$20</c:f>
              <c:numCache>
                <c:formatCode>General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06B-40E1-A2A3-AF07EAD2ED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830320"/>
        <c:axId val="676998752"/>
      </c:lineChart>
      <c:catAx>
        <c:axId val="670830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Chemicals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676998752"/>
        <c:crosses val="autoZero"/>
        <c:auto val="1"/>
        <c:lblAlgn val="ctr"/>
        <c:lblOffset val="100"/>
        <c:noMultiLvlLbl val="0"/>
      </c:catAx>
      <c:valAx>
        <c:axId val="67699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PEC/PNEC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670830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N8010: PEC/PNEC leaching in days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leaching data day 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[1]N8020_leaching!$B$3:$B$20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[1]N8020_leaching!$O$3:$O$20</c:f>
              <c:numCache>
                <c:formatCode>General</c:formatCode>
                <c:ptCount val="18"/>
                <c:pt idx="0">
                  <c:v>0</c:v>
                </c:pt>
                <c:pt idx="1">
                  <c:v>3.4699215344376637E-2</c:v>
                </c:pt>
                <c:pt idx="2">
                  <c:v>0.01</c:v>
                </c:pt>
                <c:pt idx="3">
                  <c:v>2.283018867924528</c:v>
                </c:pt>
                <c:pt idx="4">
                  <c:v>6.1904761904761907</c:v>
                </c:pt>
                <c:pt idx="5">
                  <c:v>1.2121212121212121E-3</c:v>
                </c:pt>
                <c:pt idx="6">
                  <c:v>2.611764705882353</c:v>
                </c:pt>
                <c:pt idx="7">
                  <c:v>2.0168067226890757E-4</c:v>
                </c:pt>
                <c:pt idx="8">
                  <c:v>4.2972972972972974</c:v>
                </c:pt>
                <c:pt idx="9">
                  <c:v>0.70731707317073178</c:v>
                </c:pt>
                <c:pt idx="10">
                  <c:v>25.347222222222221</c:v>
                </c:pt>
                <c:pt idx="11">
                  <c:v>0.29473684210526319</c:v>
                </c:pt>
                <c:pt idx="12">
                  <c:v>0.12523076923076923</c:v>
                </c:pt>
                <c:pt idx="13">
                  <c:v>2.145</c:v>
                </c:pt>
                <c:pt idx="14">
                  <c:v>0</c:v>
                </c:pt>
                <c:pt idx="15">
                  <c:v>0.65535714285714286</c:v>
                </c:pt>
                <c:pt idx="16">
                  <c:v>107.85714285714286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41-4F48-93B5-F6F0664C86CE}"/>
            </c:ext>
          </c:extLst>
        </c:ser>
        <c:ser>
          <c:idx val="1"/>
          <c:order val="1"/>
          <c:tx>
            <c:v>leaching data day 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[1]N8020_leaching!$B$3:$B$20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[1]N8020_leaching!$P$3:$P$20</c:f>
              <c:numCache>
                <c:formatCode>General</c:formatCode>
                <c:ptCount val="18"/>
                <c:pt idx="0">
                  <c:v>0</c:v>
                </c:pt>
                <c:pt idx="1">
                  <c:v>3.4873583260680033E-2</c:v>
                </c:pt>
                <c:pt idx="2">
                  <c:v>1.2068965517241379E-2</c:v>
                </c:pt>
                <c:pt idx="3">
                  <c:v>2.9905660377358489</c:v>
                </c:pt>
                <c:pt idx="4">
                  <c:v>2.7301587301587302</c:v>
                </c:pt>
                <c:pt idx="5">
                  <c:v>1.8787878787878789E-3</c:v>
                </c:pt>
                <c:pt idx="6">
                  <c:v>3.8823529411764706</c:v>
                </c:pt>
                <c:pt idx="7">
                  <c:v>4.2016806722689078E-4</c:v>
                </c:pt>
                <c:pt idx="8">
                  <c:v>9.8918918918918912</c:v>
                </c:pt>
                <c:pt idx="9">
                  <c:v>1.2926829268292683</c:v>
                </c:pt>
                <c:pt idx="10">
                  <c:v>42.569444444444443</c:v>
                </c:pt>
                <c:pt idx="11">
                  <c:v>0</c:v>
                </c:pt>
                <c:pt idx="12">
                  <c:v>0.16153846153846155</c:v>
                </c:pt>
                <c:pt idx="13">
                  <c:v>1.61</c:v>
                </c:pt>
                <c:pt idx="14">
                  <c:v>0</c:v>
                </c:pt>
                <c:pt idx="15">
                  <c:v>0.9553571428571429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41-4F48-93B5-F6F0664C86CE}"/>
            </c:ext>
          </c:extLst>
        </c:ser>
        <c:ser>
          <c:idx val="2"/>
          <c:order val="2"/>
          <c:tx>
            <c:v>leaching data day 6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[1]N8020_leaching!$B$3:$B$20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[1]N8020_leaching!$Q$3:$Q$20</c:f>
              <c:numCache>
                <c:formatCode>General</c:formatCode>
                <c:ptCount val="18"/>
                <c:pt idx="0">
                  <c:v>0</c:v>
                </c:pt>
                <c:pt idx="1">
                  <c:v>1.2205754141238012E-2</c:v>
                </c:pt>
                <c:pt idx="2">
                  <c:v>0</c:v>
                </c:pt>
                <c:pt idx="3">
                  <c:v>1</c:v>
                </c:pt>
                <c:pt idx="4">
                  <c:v>4.3015873015873023</c:v>
                </c:pt>
                <c:pt idx="5">
                  <c:v>0</c:v>
                </c:pt>
                <c:pt idx="6">
                  <c:v>1.5029411764705882</c:v>
                </c:pt>
                <c:pt idx="7">
                  <c:v>1.7647058823529413E-4</c:v>
                </c:pt>
                <c:pt idx="8">
                  <c:v>2.8648648648648649</c:v>
                </c:pt>
                <c:pt idx="9">
                  <c:v>0.58536585365853666</c:v>
                </c:pt>
                <c:pt idx="10">
                  <c:v>23.680555555555554</c:v>
                </c:pt>
                <c:pt idx="11">
                  <c:v>0</c:v>
                </c:pt>
                <c:pt idx="12">
                  <c:v>0</c:v>
                </c:pt>
                <c:pt idx="13">
                  <c:v>0.59000000000000008</c:v>
                </c:pt>
                <c:pt idx="14">
                  <c:v>0</c:v>
                </c:pt>
                <c:pt idx="15">
                  <c:v>0.28035714285714286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41-4F48-93B5-F6F0664C86CE}"/>
            </c:ext>
          </c:extLst>
        </c:ser>
        <c:ser>
          <c:idx val="3"/>
          <c:order val="3"/>
          <c:tx>
            <c:v>leaching data day 13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[1]N8020_leaching!$B$3:$B$20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[1]N8020_leaching!$R$3:$R$20</c:f>
              <c:numCache>
                <c:formatCode>General</c:formatCode>
                <c:ptCount val="18"/>
                <c:pt idx="0">
                  <c:v>0</c:v>
                </c:pt>
                <c:pt idx="1">
                  <c:v>3.9232781168265035E-2</c:v>
                </c:pt>
                <c:pt idx="2">
                  <c:v>0</c:v>
                </c:pt>
                <c:pt idx="3">
                  <c:v>0</c:v>
                </c:pt>
                <c:pt idx="4">
                  <c:v>3.4285714285714288</c:v>
                </c:pt>
                <c:pt idx="5">
                  <c:v>0</c:v>
                </c:pt>
                <c:pt idx="6">
                  <c:v>0.70294117647058818</c:v>
                </c:pt>
                <c:pt idx="7">
                  <c:v>0</c:v>
                </c:pt>
                <c:pt idx="8">
                  <c:v>1.6594594594594594</c:v>
                </c:pt>
                <c:pt idx="9">
                  <c:v>0.36585365853658541</c:v>
                </c:pt>
                <c:pt idx="10">
                  <c:v>16.805555555555554</c:v>
                </c:pt>
                <c:pt idx="11">
                  <c:v>0</c:v>
                </c:pt>
                <c:pt idx="12">
                  <c:v>0</c:v>
                </c:pt>
                <c:pt idx="13">
                  <c:v>0.33050000000000002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41-4F48-93B5-F6F0664C86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5060607"/>
        <c:axId val="1055071839"/>
      </c:barChart>
      <c:lineChart>
        <c:grouping val="standard"/>
        <c:varyColors val="0"/>
        <c:ser>
          <c:idx val="4"/>
          <c:order val="4"/>
          <c:tx>
            <c:v>threshold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[1]N8020_leaching!$S$3:$S$20</c:f>
              <c:numCache>
                <c:formatCode>General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241-4F48-93B5-F6F0664C86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5060607"/>
        <c:axId val="1055071839"/>
      </c:lineChart>
      <c:catAx>
        <c:axId val="10550606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Chemicals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1055071839"/>
        <c:crosses val="autoZero"/>
        <c:auto val="1"/>
        <c:lblAlgn val="ctr"/>
        <c:lblOffset val="100"/>
        <c:noMultiLvlLbl val="0"/>
      </c:catAx>
      <c:valAx>
        <c:axId val="1055071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PEC/PNEC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10550606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Comaprison leaching with</a:t>
            </a:r>
            <a:r>
              <a:rPr lang="en-GB" baseline="0"/>
              <a:t> dilution factors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Raw data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('[2]ERA_8010 (2)'!$E$113,'[2]ERA_8010 (2)'!$E$119)</c:f>
              <c:strCache>
                <c:ptCount val="2"/>
                <c:pt idx="0">
                  <c:v>Zn</c:v>
                </c:pt>
                <c:pt idx="1">
                  <c:v>Styrene</c:v>
                </c:pt>
              </c:strCache>
            </c:strRef>
          </c:cat>
          <c:val>
            <c:numRef>
              <c:f>'[2]ERA_8010 (2)'!$O$11</c:f>
              <c:numCache>
                <c:formatCode>General</c:formatCode>
                <c:ptCount val="1"/>
                <c:pt idx="0">
                  <c:v>61.388888888888886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B3-4429-ACAE-76AB428CACD0}"/>
            </c:ext>
          </c:extLst>
        </c:ser>
        <c:ser>
          <c:idx val="1"/>
          <c:order val="1"/>
          <c:tx>
            <c:v>10x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('[2]ERA_8010 (2)'!$E$113,'[2]ERA_8010 (2)'!$E$119)</c:f>
              <c:strCache>
                <c:ptCount val="2"/>
                <c:pt idx="0">
                  <c:v>Zn</c:v>
                </c:pt>
                <c:pt idx="1">
                  <c:v>Styrene</c:v>
                </c:pt>
              </c:strCache>
            </c:strRef>
          </c:cat>
          <c:val>
            <c:numRef>
              <c:f>('[2]ERA_8010 (2)'!$O$28,'[2]ERA_8010 (2)'!$O$34)</c:f>
              <c:numCache>
                <c:formatCode>General</c:formatCode>
                <c:ptCount val="2"/>
                <c:pt idx="0">
                  <c:v>6.1388888888888893</c:v>
                </c:pt>
                <c:pt idx="1">
                  <c:v>2.8464285714285715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B3-4429-ACAE-76AB428CACD0}"/>
            </c:ext>
          </c:extLst>
        </c:ser>
        <c:ser>
          <c:idx val="2"/>
          <c:order val="2"/>
          <c:tx>
            <c:v>20x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('[2]ERA_8010 (2)'!$E$113,'[2]ERA_8010 (2)'!$E$119)</c:f>
              <c:strCache>
                <c:ptCount val="2"/>
                <c:pt idx="0">
                  <c:v>Zn</c:v>
                </c:pt>
                <c:pt idx="1">
                  <c:v>Styrene</c:v>
                </c:pt>
              </c:strCache>
            </c:strRef>
          </c:cat>
          <c:val>
            <c:numRef>
              <c:f>('[2]ERA_8010 (2)'!$O$45,'[2]ERA_8010 (2)'!$O$51)</c:f>
              <c:numCache>
                <c:formatCode>General</c:formatCode>
                <c:ptCount val="2"/>
                <c:pt idx="0">
                  <c:v>3.0694444444444446</c:v>
                </c:pt>
                <c:pt idx="1">
                  <c:v>1.4232142857142858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B3-4429-ACAE-76AB428CACD0}"/>
            </c:ext>
          </c:extLst>
        </c:ser>
        <c:ser>
          <c:idx val="3"/>
          <c:order val="3"/>
          <c:tx>
            <c:v>50x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('[2]ERA_8010 (2)'!$E$113,'[2]ERA_8010 (2)'!$E$119)</c:f>
              <c:strCache>
                <c:ptCount val="2"/>
                <c:pt idx="0">
                  <c:v>Zn</c:v>
                </c:pt>
                <c:pt idx="1">
                  <c:v>Styrene</c:v>
                </c:pt>
              </c:strCache>
            </c:strRef>
          </c:cat>
          <c:val>
            <c:numRef>
              <c:f>('[2]ERA_8010 (2)'!$O$62,'[2]ERA_8010 (2)'!$O$68)</c:f>
              <c:numCache>
                <c:formatCode>General</c:formatCode>
                <c:ptCount val="2"/>
                <c:pt idx="0">
                  <c:v>1.2277777777777776</c:v>
                </c:pt>
                <c:pt idx="1">
                  <c:v>0.56928571428571428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8B3-4429-ACAE-76AB428CACD0}"/>
            </c:ext>
          </c:extLst>
        </c:ser>
        <c:ser>
          <c:idx val="4"/>
          <c:order val="4"/>
          <c:tx>
            <c:v>60x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('[2]ERA_8010 (2)'!$E$113,'[2]ERA_8010 (2)'!$E$119)</c:f>
              <c:strCache>
                <c:ptCount val="2"/>
                <c:pt idx="0">
                  <c:v>Zn</c:v>
                </c:pt>
                <c:pt idx="1">
                  <c:v>Styrene</c:v>
                </c:pt>
              </c:strCache>
            </c:strRef>
          </c:cat>
          <c:val>
            <c:numRef>
              <c:f>('[2]ERA_8010 (2)'!$O$79,'[2]ERA_8010 (2)'!$O$85)</c:f>
              <c:numCache>
                <c:formatCode>General</c:formatCode>
                <c:ptCount val="2"/>
                <c:pt idx="0">
                  <c:v>1.0231481481481481</c:v>
                </c:pt>
                <c:pt idx="1">
                  <c:v>0.47440476190476188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8B3-4429-ACAE-76AB428CACD0}"/>
            </c:ext>
          </c:extLst>
        </c:ser>
        <c:ser>
          <c:idx val="5"/>
          <c:order val="5"/>
          <c:tx>
            <c:v>70x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('[2]ERA_8010 (2)'!$E$113,'[2]ERA_8010 (2)'!$E$119)</c:f>
              <c:strCache>
                <c:ptCount val="2"/>
                <c:pt idx="0">
                  <c:v>Zn</c:v>
                </c:pt>
                <c:pt idx="1">
                  <c:v>Styrene</c:v>
                </c:pt>
              </c:strCache>
            </c:strRef>
          </c:cat>
          <c:val>
            <c:numRef>
              <c:f>('[2]ERA_8010 (2)'!$O$96,'[2]ERA_8010 (2)'!$O$102)</c:f>
              <c:numCache>
                <c:formatCode>General</c:formatCode>
                <c:ptCount val="2"/>
                <c:pt idx="0">
                  <c:v>0.87698412698412698</c:v>
                </c:pt>
                <c:pt idx="1">
                  <c:v>0.40663265306122448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8B3-4429-ACAE-76AB428CACD0}"/>
            </c:ext>
          </c:extLst>
        </c:ser>
        <c:ser>
          <c:idx val="6"/>
          <c:order val="6"/>
          <c:tx>
            <c:v>80x</c:v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('[2]ERA_8010 (2)'!$E$113,'[2]ERA_8010 (2)'!$E$119)</c:f>
              <c:strCache>
                <c:ptCount val="2"/>
                <c:pt idx="0">
                  <c:v>Zn</c:v>
                </c:pt>
                <c:pt idx="1">
                  <c:v>Styrene</c:v>
                </c:pt>
              </c:strCache>
            </c:strRef>
          </c:cat>
          <c:val>
            <c:numRef>
              <c:f>('[2]ERA_8010 (2)'!$O$113,'[2]ERA_8010 (2)'!$O$119)</c:f>
              <c:numCache>
                <c:formatCode>General</c:formatCode>
                <c:ptCount val="2"/>
                <c:pt idx="0">
                  <c:v>0.76736111111111116</c:v>
                </c:pt>
                <c:pt idx="1">
                  <c:v>0.35580357142857144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8B3-4429-ACAE-76AB428CAC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285807824"/>
        <c:axId val="1285812400"/>
      </c:barChart>
      <c:lineChart>
        <c:grouping val="standard"/>
        <c:varyColors val="0"/>
        <c:ser>
          <c:idx val="7"/>
          <c:order val="7"/>
          <c:tx>
            <c:v>Threshold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('[2]ERA_8010 (2)'!$S$11,'[2]ERA_8010 (2)'!$S$17)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8B3-4429-ACAE-76AB428CAC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5807824"/>
        <c:axId val="1285812400"/>
      </c:lineChart>
      <c:catAx>
        <c:axId val="12858078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Chemicals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1285812400"/>
        <c:crosses val="autoZero"/>
        <c:auto val="1"/>
        <c:lblAlgn val="ctr"/>
        <c:lblOffset val="100"/>
        <c:noMultiLvlLbl val="0"/>
      </c:catAx>
      <c:valAx>
        <c:axId val="1285812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PEC/PNEC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1285807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M1</a:t>
            </a:r>
            <a:r>
              <a:rPr lang="en-GB" baseline="0"/>
              <a:t> dilution factors 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leaching day 1+N8010_leaching!$O$3:$O$4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[1]N8020_leaching!$B$3:$B$20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[1]N8020_leaching!$O$3:$O$20</c:f>
              <c:numCache>
                <c:formatCode>General</c:formatCode>
                <c:ptCount val="18"/>
                <c:pt idx="0">
                  <c:v>0</c:v>
                </c:pt>
                <c:pt idx="1">
                  <c:v>3.4699215344376637E-2</c:v>
                </c:pt>
                <c:pt idx="2">
                  <c:v>0.01</c:v>
                </c:pt>
                <c:pt idx="3">
                  <c:v>2.283018867924528</c:v>
                </c:pt>
                <c:pt idx="4">
                  <c:v>6.1904761904761907</c:v>
                </c:pt>
                <c:pt idx="5">
                  <c:v>1.2121212121212121E-3</c:v>
                </c:pt>
                <c:pt idx="6">
                  <c:v>2.611764705882353</c:v>
                </c:pt>
                <c:pt idx="7">
                  <c:v>2.0168067226890757E-4</c:v>
                </c:pt>
                <c:pt idx="8">
                  <c:v>4.2972972972972974</c:v>
                </c:pt>
                <c:pt idx="9">
                  <c:v>0.70731707317073178</c:v>
                </c:pt>
                <c:pt idx="10">
                  <c:v>25.347222222222221</c:v>
                </c:pt>
                <c:pt idx="11">
                  <c:v>0.29473684210526319</c:v>
                </c:pt>
                <c:pt idx="12">
                  <c:v>0.12523076923076923</c:v>
                </c:pt>
                <c:pt idx="13">
                  <c:v>2.145</c:v>
                </c:pt>
                <c:pt idx="14">
                  <c:v>0</c:v>
                </c:pt>
                <c:pt idx="15">
                  <c:v>0.65535714285714286</c:v>
                </c:pt>
                <c:pt idx="16">
                  <c:v>107.85714285714286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52-4768-8905-CEE003C3900C}"/>
            </c:ext>
          </c:extLst>
        </c:ser>
        <c:ser>
          <c:idx val="1"/>
          <c:order val="1"/>
          <c:tx>
            <c:v>10 x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[1]N8020_leaching!$B$3:$B$20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[1]N8020_leaching!$O$23:$O$40</c:f>
              <c:numCache>
                <c:formatCode>General</c:formatCode>
                <c:ptCount val="18"/>
                <c:pt idx="0">
                  <c:v>0</c:v>
                </c:pt>
                <c:pt idx="1">
                  <c:v>3.4699215344376638E-3</c:v>
                </c:pt>
                <c:pt idx="2">
                  <c:v>1E-3</c:v>
                </c:pt>
                <c:pt idx="3">
                  <c:v>0.22830188679245281</c:v>
                </c:pt>
                <c:pt idx="4">
                  <c:v>0.61904761904761907</c:v>
                </c:pt>
                <c:pt idx="5">
                  <c:v>1.2121212121212122E-4</c:v>
                </c:pt>
                <c:pt idx="6">
                  <c:v>0.26117647058823529</c:v>
                </c:pt>
                <c:pt idx="7">
                  <c:v>2.0168067226890756E-5</c:v>
                </c:pt>
                <c:pt idx="8">
                  <c:v>0.42972972972972973</c:v>
                </c:pt>
                <c:pt idx="9">
                  <c:v>7.0731707317073178E-2</c:v>
                </c:pt>
                <c:pt idx="10">
                  <c:v>2.5347222222222223</c:v>
                </c:pt>
                <c:pt idx="11">
                  <c:v>2.9473684210526315E-2</c:v>
                </c:pt>
                <c:pt idx="12">
                  <c:v>1.2523076923076923E-2</c:v>
                </c:pt>
                <c:pt idx="13">
                  <c:v>0.2145</c:v>
                </c:pt>
                <c:pt idx="14">
                  <c:v>0</c:v>
                </c:pt>
                <c:pt idx="15">
                  <c:v>6.5535714285714294E-2</c:v>
                </c:pt>
                <c:pt idx="16">
                  <c:v>10.785714285714286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52-4768-8905-CEE003C3900C}"/>
            </c:ext>
          </c:extLst>
        </c:ser>
        <c:ser>
          <c:idx val="2"/>
          <c:order val="2"/>
          <c:tx>
            <c:v>20x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[1]N8020_leaching!$B$3:$B$20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[1]N8020_leaching!$O$43:$O$60</c:f>
              <c:numCache>
                <c:formatCode>General</c:formatCode>
                <c:ptCount val="18"/>
                <c:pt idx="0">
                  <c:v>0</c:v>
                </c:pt>
                <c:pt idx="1">
                  <c:v>1.7349607672188319E-3</c:v>
                </c:pt>
                <c:pt idx="2">
                  <c:v>5.0000000000000001E-4</c:v>
                </c:pt>
                <c:pt idx="3">
                  <c:v>0.1141509433962264</c:v>
                </c:pt>
                <c:pt idx="4">
                  <c:v>0.30952380952380953</c:v>
                </c:pt>
                <c:pt idx="5">
                  <c:v>6.0606060606060611E-5</c:v>
                </c:pt>
                <c:pt idx="6">
                  <c:v>0.13058823529411764</c:v>
                </c:pt>
                <c:pt idx="7">
                  <c:v>1.0084033613445378E-5</c:v>
                </c:pt>
                <c:pt idx="8">
                  <c:v>0.21486486486486486</c:v>
                </c:pt>
                <c:pt idx="9">
                  <c:v>3.5365853658536589E-2</c:v>
                </c:pt>
                <c:pt idx="10">
                  <c:v>1.2673611111111112</c:v>
                </c:pt>
                <c:pt idx="11">
                  <c:v>1.4736842105263158E-2</c:v>
                </c:pt>
                <c:pt idx="12">
                  <c:v>6.2615384615384616E-3</c:v>
                </c:pt>
                <c:pt idx="13">
                  <c:v>0.10725</c:v>
                </c:pt>
                <c:pt idx="14">
                  <c:v>0</c:v>
                </c:pt>
                <c:pt idx="15">
                  <c:v>3.2767857142857147E-2</c:v>
                </c:pt>
                <c:pt idx="16">
                  <c:v>5.3928571428571432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52-4768-8905-CEE003C3900C}"/>
            </c:ext>
          </c:extLst>
        </c:ser>
        <c:ser>
          <c:idx val="3"/>
          <c:order val="3"/>
          <c:tx>
            <c:v>50x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[1]N8020_leaching!$B$3:$B$20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[1]N8020_leaching!$O$63:$O$80</c:f>
              <c:numCache>
                <c:formatCode>General</c:formatCode>
                <c:ptCount val="18"/>
                <c:pt idx="0">
                  <c:v>0</c:v>
                </c:pt>
                <c:pt idx="1">
                  <c:v>6.9398430688753267E-4</c:v>
                </c:pt>
                <c:pt idx="2">
                  <c:v>1.9999999999999998E-4</c:v>
                </c:pt>
                <c:pt idx="3">
                  <c:v>4.5660377358490566E-2</c:v>
                </c:pt>
                <c:pt idx="4">
                  <c:v>0.12380952380952381</c:v>
                </c:pt>
                <c:pt idx="5">
                  <c:v>2.4242424242424244E-5</c:v>
                </c:pt>
                <c:pt idx="6">
                  <c:v>5.223529411764706E-2</c:v>
                </c:pt>
                <c:pt idx="7">
                  <c:v>4.0336134453781513E-6</c:v>
                </c:pt>
                <c:pt idx="8">
                  <c:v>8.5945945945945956E-2</c:v>
                </c:pt>
                <c:pt idx="9">
                  <c:v>1.4146341463414635E-2</c:v>
                </c:pt>
                <c:pt idx="10">
                  <c:v>0.50694444444444442</c:v>
                </c:pt>
                <c:pt idx="11">
                  <c:v>5.8947368421052634E-3</c:v>
                </c:pt>
                <c:pt idx="12">
                  <c:v>2.5046153846153846E-3</c:v>
                </c:pt>
                <c:pt idx="13">
                  <c:v>4.2900000000000001E-2</c:v>
                </c:pt>
                <c:pt idx="14">
                  <c:v>0</c:v>
                </c:pt>
                <c:pt idx="15">
                  <c:v>1.3107142857142857E-2</c:v>
                </c:pt>
                <c:pt idx="16">
                  <c:v>2.157142857142857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952-4768-8905-CEE003C3900C}"/>
            </c:ext>
          </c:extLst>
        </c:ser>
        <c:ser>
          <c:idx val="4"/>
          <c:order val="4"/>
          <c:tx>
            <c:v>60x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[1]N8020_leaching!$B$3:$B$20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[1]N8020_leaching!$O$83:$O$100</c:f>
              <c:numCache>
                <c:formatCode>General</c:formatCode>
                <c:ptCount val="18"/>
                <c:pt idx="0">
                  <c:v>0</c:v>
                </c:pt>
                <c:pt idx="1">
                  <c:v>5.7832025573961048E-4</c:v>
                </c:pt>
                <c:pt idx="2">
                  <c:v>1.6666666666666666E-4</c:v>
                </c:pt>
                <c:pt idx="3">
                  <c:v>3.8050314465408804E-2</c:v>
                </c:pt>
                <c:pt idx="4">
                  <c:v>0.10317460317460318</c:v>
                </c:pt>
                <c:pt idx="5">
                  <c:v>2.0202020202020203E-5</c:v>
                </c:pt>
                <c:pt idx="6">
                  <c:v>4.3529411764705879E-2</c:v>
                </c:pt>
                <c:pt idx="7">
                  <c:v>3.3613445378151261E-6</c:v>
                </c:pt>
                <c:pt idx="8">
                  <c:v>7.1621621621621626E-2</c:v>
                </c:pt>
                <c:pt idx="9">
                  <c:v>1.1788617886178862E-2</c:v>
                </c:pt>
                <c:pt idx="10">
                  <c:v>0.42245370370370366</c:v>
                </c:pt>
                <c:pt idx="11">
                  <c:v>4.9122807017543861E-3</c:v>
                </c:pt>
                <c:pt idx="12">
                  <c:v>2.0871794871794871E-3</c:v>
                </c:pt>
                <c:pt idx="13">
                  <c:v>3.5749999999999997E-2</c:v>
                </c:pt>
                <c:pt idx="14">
                  <c:v>0</c:v>
                </c:pt>
                <c:pt idx="15">
                  <c:v>1.0922619047619049E-2</c:v>
                </c:pt>
                <c:pt idx="16">
                  <c:v>1.7976190476190477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52-4768-8905-CEE003C3900C}"/>
            </c:ext>
          </c:extLst>
        </c:ser>
        <c:ser>
          <c:idx val="5"/>
          <c:order val="5"/>
          <c:tx>
            <c:v>70x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[1]N8020_leaching!$B$3:$B$20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[1]N8020_leaching!$O$103:$O$120</c:f>
              <c:numCache>
                <c:formatCode>General</c:formatCode>
                <c:ptCount val="18"/>
                <c:pt idx="0">
                  <c:v>0</c:v>
                </c:pt>
                <c:pt idx="1">
                  <c:v>4.9570307634823764E-4</c:v>
                </c:pt>
                <c:pt idx="2">
                  <c:v>1.4285714285714287E-4</c:v>
                </c:pt>
                <c:pt idx="3">
                  <c:v>3.2614555256064687E-2</c:v>
                </c:pt>
                <c:pt idx="4">
                  <c:v>8.8435374149659865E-2</c:v>
                </c:pt>
                <c:pt idx="5">
                  <c:v>1.7316017316017315E-5</c:v>
                </c:pt>
                <c:pt idx="6">
                  <c:v>3.7310924369747894E-2</c:v>
                </c:pt>
                <c:pt idx="7">
                  <c:v>2.8811524609843937E-6</c:v>
                </c:pt>
                <c:pt idx="8">
                  <c:v>6.1389961389961389E-2</c:v>
                </c:pt>
                <c:pt idx="9">
                  <c:v>1.0104529616724738E-2</c:v>
                </c:pt>
                <c:pt idx="10">
                  <c:v>0.36210317460317459</c:v>
                </c:pt>
                <c:pt idx="11">
                  <c:v>4.2105263157894736E-3</c:v>
                </c:pt>
                <c:pt idx="12">
                  <c:v>1.7890109890109887E-3</c:v>
                </c:pt>
                <c:pt idx="13">
                  <c:v>3.0642857142857145E-2</c:v>
                </c:pt>
                <c:pt idx="14">
                  <c:v>0</c:v>
                </c:pt>
                <c:pt idx="15">
                  <c:v>9.3622448979591849E-3</c:v>
                </c:pt>
                <c:pt idx="16">
                  <c:v>1.5408163265306123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952-4768-8905-CEE003C3900C}"/>
            </c:ext>
          </c:extLst>
        </c:ser>
        <c:ser>
          <c:idx val="6"/>
          <c:order val="6"/>
          <c:tx>
            <c:v>80x</c:v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[1]N8020_leaching!$B$3:$B$20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[1]N8020_leaching!$O$123:$O$140</c:f>
              <c:numCache>
                <c:formatCode>General</c:formatCode>
                <c:ptCount val="18"/>
                <c:pt idx="0">
                  <c:v>0</c:v>
                </c:pt>
                <c:pt idx="1">
                  <c:v>4.3374019180470797E-4</c:v>
                </c:pt>
                <c:pt idx="2">
                  <c:v>1.25E-4</c:v>
                </c:pt>
                <c:pt idx="3">
                  <c:v>2.8537735849056601E-2</c:v>
                </c:pt>
                <c:pt idx="4">
                  <c:v>7.7380952380952384E-2</c:v>
                </c:pt>
                <c:pt idx="5">
                  <c:v>1.5151515151515153E-5</c:v>
                </c:pt>
                <c:pt idx="6">
                  <c:v>3.2647058823529411E-2</c:v>
                </c:pt>
                <c:pt idx="7">
                  <c:v>2.5210084033613444E-6</c:v>
                </c:pt>
                <c:pt idx="8">
                  <c:v>5.3716216216216216E-2</c:v>
                </c:pt>
                <c:pt idx="9">
                  <c:v>8.8414634146341473E-3</c:v>
                </c:pt>
                <c:pt idx="10">
                  <c:v>0.31684027777777779</c:v>
                </c:pt>
                <c:pt idx="11">
                  <c:v>3.6842105263157894E-3</c:v>
                </c:pt>
                <c:pt idx="12">
                  <c:v>1.5653846153846154E-3</c:v>
                </c:pt>
                <c:pt idx="13">
                  <c:v>2.68125E-2</c:v>
                </c:pt>
                <c:pt idx="14">
                  <c:v>0</c:v>
                </c:pt>
                <c:pt idx="15">
                  <c:v>8.1919642857142868E-3</c:v>
                </c:pt>
                <c:pt idx="16">
                  <c:v>1.3482142857142858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952-4768-8905-CEE003C390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0830320"/>
        <c:axId val="676998752"/>
      </c:barChart>
      <c:lineChart>
        <c:grouping val="standard"/>
        <c:varyColors val="0"/>
        <c:ser>
          <c:idx val="7"/>
          <c:order val="7"/>
          <c:tx>
            <c:v>threshold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[1]N8020_leaching!$B$3:$B$20</c:f>
              <c:strCache>
                <c:ptCount val="18"/>
                <c:pt idx="0">
                  <c:v>Hg</c:v>
                </c:pt>
                <c:pt idx="1">
                  <c:v>Ba</c:v>
                </c:pt>
                <c:pt idx="2">
                  <c:v>B</c:v>
                </c:pt>
                <c:pt idx="3">
                  <c:v>Co</c:v>
                </c:pt>
                <c:pt idx="4">
                  <c:v>Cu</c:v>
                </c:pt>
                <c:pt idx="5">
                  <c:v>Li</c:v>
                </c:pt>
                <c:pt idx="6">
                  <c:v>Mn</c:v>
                </c:pt>
                <c:pt idx="7">
                  <c:v>Mo</c:v>
                </c:pt>
                <c:pt idx="8">
                  <c:v>Sn</c:v>
                </c:pt>
                <c:pt idx="9">
                  <c:v>V</c:v>
                </c:pt>
                <c:pt idx="10">
                  <c:v>Zn</c:v>
                </c:pt>
                <c:pt idx="11">
                  <c:v>Cd</c:v>
                </c:pt>
                <c:pt idx="12">
                  <c:v>Cr</c:v>
                </c:pt>
                <c:pt idx="13">
                  <c:v>Ni</c:v>
                </c:pt>
                <c:pt idx="14">
                  <c:v>Pb</c:v>
                </c:pt>
                <c:pt idx="15">
                  <c:v>As</c:v>
                </c:pt>
                <c:pt idx="16">
                  <c:v>Styrene</c:v>
                </c:pt>
                <c:pt idx="17">
                  <c:v>FA</c:v>
                </c:pt>
              </c:strCache>
            </c:strRef>
          </c:cat>
          <c:val>
            <c:numRef>
              <c:f>[1]N8020_leaching!$S$3:$S$20</c:f>
              <c:numCache>
                <c:formatCode>General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952-4768-8905-CEE003C390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830320"/>
        <c:axId val="676998752"/>
      </c:lineChart>
      <c:catAx>
        <c:axId val="670830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Chemicals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676998752"/>
        <c:crosses val="autoZero"/>
        <c:auto val="1"/>
        <c:lblAlgn val="ctr"/>
        <c:lblOffset val="100"/>
        <c:noMultiLvlLbl val="0"/>
      </c:catAx>
      <c:valAx>
        <c:axId val="67699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PEC/PNEC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670830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702527</xdr:colOff>
      <xdr:row>5</xdr:row>
      <xdr:rowOff>89476</xdr:rowOff>
    </xdr:from>
    <xdr:to>
      <xdr:col>32</xdr:col>
      <xdr:colOff>386312</xdr:colOff>
      <xdr:row>43</xdr:row>
      <xdr:rowOff>107390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58FA5E0-4607-4D25-87C0-0D4C20899B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288638</xdr:colOff>
      <xdr:row>93</xdr:row>
      <xdr:rowOff>140856</xdr:rowOff>
    </xdr:from>
    <xdr:to>
      <xdr:col>33</xdr:col>
      <xdr:colOff>392546</xdr:colOff>
      <xdr:row>139</xdr:row>
      <xdr:rowOff>115455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4B9512C-3390-4ABC-B95A-724E43A16C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36</xdr:col>
      <xdr:colOff>270932</xdr:colOff>
      <xdr:row>18</xdr:row>
      <xdr:rowOff>0</xdr:rowOff>
    </xdr:from>
    <xdr:to>
      <xdr:col>54</xdr:col>
      <xdr:colOff>304799</xdr:colOff>
      <xdr:row>73</xdr:row>
      <xdr:rowOff>67733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59A0276-1467-4992-AEF9-21937238A3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279400</xdr:colOff>
      <xdr:row>0</xdr:row>
      <xdr:rowOff>57150</xdr:rowOff>
    </xdr:from>
    <xdr:to>
      <xdr:col>14</xdr:col>
      <xdr:colOff>895991</xdr:colOff>
      <xdr:row>14</xdr:row>
      <xdr:rowOff>39162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48DA43A-2735-8110-34E6-88B33ABA82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63329" y="57150"/>
          <a:ext cx="5342806" cy="2531083"/>
        </a:xfrm>
        <a:prstGeom prst="rect">
          <a:avLst/>
        </a:prstGeom>
      </xdr:spPr>
    </xdr:pic>
    <xdr:clientData/>
  </xdr:twoCellAnchor>
  <xdr:twoCellAnchor>
    <xdr:from>
      <xdr:col>3</xdr:col>
      <xdr:colOff>101600</xdr:colOff>
      <xdr:row>2</xdr:row>
      <xdr:rowOff>25400</xdr:rowOff>
    </xdr:from>
    <xdr:to>
      <xdr:col>3</xdr:col>
      <xdr:colOff>285750</xdr:colOff>
      <xdr:row>3</xdr:row>
      <xdr:rowOff>165100</xdr:rowOff>
    </xdr:to>
    <xdr:sp macro="" textlink="">
      <xdr:nvSpPr>
        <xdr:cNvPr id="4" name="Right Brace 3">
          <a:extLst>
            <a:ext uri="{FF2B5EF4-FFF2-40B4-BE49-F238E27FC236}">
              <a16:creationId xmlns:a16="http://schemas.microsoft.com/office/drawing/2014/main" id="{7B163B12-FF2F-D0B0-8B7C-BF35AED9E799}"/>
            </a:ext>
          </a:extLst>
        </xdr:cNvPr>
        <xdr:cNvSpPr/>
      </xdr:nvSpPr>
      <xdr:spPr>
        <a:xfrm>
          <a:off x="2330450" y="393700"/>
          <a:ext cx="184150" cy="323850"/>
        </a:xfrm>
        <a:prstGeom prst="rightBrace">
          <a:avLst/>
        </a:prstGeom>
        <a:ln w="127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</xdr:col>
      <xdr:colOff>323850</xdr:colOff>
      <xdr:row>2</xdr:row>
      <xdr:rowOff>82550</xdr:rowOff>
    </xdr:from>
    <xdr:to>
      <xdr:col>7</xdr:col>
      <xdr:colOff>0</xdr:colOff>
      <xdr:row>3</xdr:row>
      <xdr:rowOff>146050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801FCE9F-0372-CD93-4D63-806FBC8FC49B}"/>
            </a:ext>
          </a:extLst>
        </xdr:cNvPr>
        <xdr:cNvSpPr txBox="1"/>
      </xdr:nvSpPr>
      <xdr:spPr>
        <a:xfrm>
          <a:off x="2552700" y="450850"/>
          <a:ext cx="3835400" cy="24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Submerged height during summer and winter conditions</a:t>
          </a:r>
        </a:p>
      </xdr:txBody>
    </xdr:sp>
    <xdr:clientData/>
  </xdr:twoCellAnchor>
  <xdr:twoCellAnchor editAs="oneCell">
    <xdr:from>
      <xdr:col>7</xdr:col>
      <xdr:colOff>270416</xdr:colOff>
      <xdr:row>16</xdr:row>
      <xdr:rowOff>36286</xdr:rowOff>
    </xdr:from>
    <xdr:to>
      <xdr:col>14</xdr:col>
      <xdr:colOff>980587</xdr:colOff>
      <xdr:row>29</xdr:row>
      <xdr:rowOff>54430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FE7CFFB-5BB3-EC00-1156-AEB9B31450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754345" y="2766786"/>
          <a:ext cx="5436386" cy="23857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702527</xdr:colOff>
      <xdr:row>5</xdr:row>
      <xdr:rowOff>89476</xdr:rowOff>
    </xdr:from>
    <xdr:to>
      <xdr:col>32</xdr:col>
      <xdr:colOff>386312</xdr:colOff>
      <xdr:row>43</xdr:row>
      <xdr:rowOff>107390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DE76166-84BE-4988-B015-04D45C321F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288638</xdr:colOff>
      <xdr:row>93</xdr:row>
      <xdr:rowOff>140856</xdr:rowOff>
    </xdr:from>
    <xdr:to>
      <xdr:col>33</xdr:col>
      <xdr:colOff>392546</xdr:colOff>
      <xdr:row>139</xdr:row>
      <xdr:rowOff>115455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0765918-D73E-4476-AC4E-0DD0D3CB9A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36</xdr:col>
      <xdr:colOff>270932</xdr:colOff>
      <xdr:row>18</xdr:row>
      <xdr:rowOff>0</xdr:rowOff>
    </xdr:from>
    <xdr:to>
      <xdr:col>54</xdr:col>
      <xdr:colOff>304799</xdr:colOff>
      <xdr:row>73</xdr:row>
      <xdr:rowOff>67733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7099A0F-CABE-4C1A-9D2C-BB61B35599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279400</xdr:colOff>
      <xdr:row>0</xdr:row>
      <xdr:rowOff>57150</xdr:rowOff>
    </xdr:from>
    <xdr:to>
      <xdr:col>14</xdr:col>
      <xdr:colOff>895991</xdr:colOff>
      <xdr:row>14</xdr:row>
      <xdr:rowOff>45512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865704F-95CD-43F0-909D-490B0BB713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23300" y="57150"/>
          <a:ext cx="5347341" cy="2566462"/>
        </a:xfrm>
        <a:prstGeom prst="rect">
          <a:avLst/>
        </a:prstGeom>
      </xdr:spPr>
    </xdr:pic>
    <xdr:clientData/>
  </xdr:twoCellAnchor>
  <xdr:twoCellAnchor>
    <xdr:from>
      <xdr:col>3</xdr:col>
      <xdr:colOff>101600</xdr:colOff>
      <xdr:row>2</xdr:row>
      <xdr:rowOff>25400</xdr:rowOff>
    </xdr:from>
    <xdr:to>
      <xdr:col>3</xdr:col>
      <xdr:colOff>285750</xdr:colOff>
      <xdr:row>3</xdr:row>
      <xdr:rowOff>165100</xdr:rowOff>
    </xdr:to>
    <xdr:sp macro="" textlink="">
      <xdr:nvSpPr>
        <xdr:cNvPr id="3" name="Right Brace 2">
          <a:extLst>
            <a:ext uri="{FF2B5EF4-FFF2-40B4-BE49-F238E27FC236}">
              <a16:creationId xmlns:a16="http://schemas.microsoft.com/office/drawing/2014/main" id="{D4B1B003-BA87-4F84-93AE-F458D7FBD2AE}"/>
            </a:ext>
          </a:extLst>
        </xdr:cNvPr>
        <xdr:cNvSpPr/>
      </xdr:nvSpPr>
      <xdr:spPr>
        <a:xfrm>
          <a:off x="3448050" y="393700"/>
          <a:ext cx="184150" cy="323850"/>
        </a:xfrm>
        <a:prstGeom prst="rightBrace">
          <a:avLst/>
        </a:prstGeom>
        <a:ln w="127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</xdr:col>
      <xdr:colOff>323850</xdr:colOff>
      <xdr:row>2</xdr:row>
      <xdr:rowOff>82550</xdr:rowOff>
    </xdr:from>
    <xdr:to>
      <xdr:col>7</xdr:col>
      <xdr:colOff>0</xdr:colOff>
      <xdr:row>3</xdr:row>
      <xdr:rowOff>146050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75840F25-21E9-4BC7-9BED-7B7A31CB8FE1}"/>
            </a:ext>
          </a:extLst>
        </xdr:cNvPr>
        <xdr:cNvSpPr txBox="1"/>
      </xdr:nvSpPr>
      <xdr:spPr>
        <a:xfrm>
          <a:off x="3670300" y="450850"/>
          <a:ext cx="4673600" cy="24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Submerged height during summer and winter conditions</a:t>
          </a:r>
        </a:p>
      </xdr:txBody>
    </xdr:sp>
    <xdr:clientData/>
  </xdr:twoCellAnchor>
  <xdr:twoCellAnchor editAs="oneCell">
    <xdr:from>
      <xdr:col>7</xdr:col>
      <xdr:colOff>270416</xdr:colOff>
      <xdr:row>16</xdr:row>
      <xdr:rowOff>36286</xdr:rowOff>
    </xdr:from>
    <xdr:to>
      <xdr:col>14</xdr:col>
      <xdr:colOff>980587</xdr:colOff>
      <xdr:row>29</xdr:row>
      <xdr:rowOff>60780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CEF0F2AB-5D7D-4100-936E-742EDC97EA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614316" y="2989036"/>
          <a:ext cx="5440921" cy="241844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702527</xdr:colOff>
      <xdr:row>5</xdr:row>
      <xdr:rowOff>89476</xdr:rowOff>
    </xdr:from>
    <xdr:to>
      <xdr:col>32</xdr:col>
      <xdr:colOff>386312</xdr:colOff>
      <xdr:row>43</xdr:row>
      <xdr:rowOff>107390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F4EA59F-845E-4929-A3A5-377D2068A4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288638</xdr:colOff>
      <xdr:row>93</xdr:row>
      <xdr:rowOff>140856</xdr:rowOff>
    </xdr:from>
    <xdr:to>
      <xdr:col>33</xdr:col>
      <xdr:colOff>392546</xdr:colOff>
      <xdr:row>139</xdr:row>
      <xdr:rowOff>115455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6055EFE-21E4-4AE7-BA1C-17D873E7A1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36</xdr:col>
      <xdr:colOff>270932</xdr:colOff>
      <xdr:row>18</xdr:row>
      <xdr:rowOff>0</xdr:rowOff>
    </xdr:from>
    <xdr:to>
      <xdr:col>54</xdr:col>
      <xdr:colOff>304799</xdr:colOff>
      <xdr:row>73</xdr:row>
      <xdr:rowOff>67733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D6A989C-9A25-4991-8724-E6766AA0EF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279400</xdr:colOff>
      <xdr:row>0</xdr:row>
      <xdr:rowOff>57150</xdr:rowOff>
    </xdr:from>
    <xdr:to>
      <xdr:col>14</xdr:col>
      <xdr:colOff>895991</xdr:colOff>
      <xdr:row>14</xdr:row>
      <xdr:rowOff>51862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9F58B88-D410-49FD-BEF2-002021A36D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23300" y="57150"/>
          <a:ext cx="5347341" cy="2572812"/>
        </a:xfrm>
        <a:prstGeom prst="rect">
          <a:avLst/>
        </a:prstGeom>
      </xdr:spPr>
    </xdr:pic>
    <xdr:clientData/>
  </xdr:twoCellAnchor>
  <xdr:twoCellAnchor>
    <xdr:from>
      <xdr:col>3</xdr:col>
      <xdr:colOff>101600</xdr:colOff>
      <xdr:row>2</xdr:row>
      <xdr:rowOff>25400</xdr:rowOff>
    </xdr:from>
    <xdr:to>
      <xdr:col>3</xdr:col>
      <xdr:colOff>285750</xdr:colOff>
      <xdr:row>3</xdr:row>
      <xdr:rowOff>165100</xdr:rowOff>
    </xdr:to>
    <xdr:sp macro="" textlink="">
      <xdr:nvSpPr>
        <xdr:cNvPr id="3" name="Right Brace 2">
          <a:extLst>
            <a:ext uri="{FF2B5EF4-FFF2-40B4-BE49-F238E27FC236}">
              <a16:creationId xmlns:a16="http://schemas.microsoft.com/office/drawing/2014/main" id="{FEE9C6D4-6D04-4B67-AD0F-657622800009}"/>
            </a:ext>
          </a:extLst>
        </xdr:cNvPr>
        <xdr:cNvSpPr/>
      </xdr:nvSpPr>
      <xdr:spPr>
        <a:xfrm>
          <a:off x="3448050" y="393700"/>
          <a:ext cx="184150" cy="323850"/>
        </a:xfrm>
        <a:prstGeom prst="rightBrace">
          <a:avLst/>
        </a:prstGeom>
        <a:ln w="127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</xdr:col>
      <xdr:colOff>323850</xdr:colOff>
      <xdr:row>2</xdr:row>
      <xdr:rowOff>82550</xdr:rowOff>
    </xdr:from>
    <xdr:to>
      <xdr:col>7</xdr:col>
      <xdr:colOff>0</xdr:colOff>
      <xdr:row>3</xdr:row>
      <xdr:rowOff>146050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0DD297A-DBD3-4C2A-BAC4-474D5BCA1FD4}"/>
            </a:ext>
          </a:extLst>
        </xdr:cNvPr>
        <xdr:cNvSpPr txBox="1"/>
      </xdr:nvSpPr>
      <xdr:spPr>
        <a:xfrm>
          <a:off x="3670300" y="450850"/>
          <a:ext cx="4673600" cy="24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Submerged height during summer and winter conditions</a:t>
          </a:r>
        </a:p>
      </xdr:txBody>
    </xdr:sp>
    <xdr:clientData/>
  </xdr:twoCellAnchor>
  <xdr:twoCellAnchor editAs="oneCell">
    <xdr:from>
      <xdr:col>7</xdr:col>
      <xdr:colOff>270416</xdr:colOff>
      <xdr:row>16</xdr:row>
      <xdr:rowOff>36286</xdr:rowOff>
    </xdr:from>
    <xdr:to>
      <xdr:col>14</xdr:col>
      <xdr:colOff>980587</xdr:colOff>
      <xdr:row>29</xdr:row>
      <xdr:rowOff>67130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103058D-E025-44CE-A850-859FAD0376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614316" y="2989036"/>
          <a:ext cx="5440921" cy="242479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702527</xdr:colOff>
      <xdr:row>5</xdr:row>
      <xdr:rowOff>89476</xdr:rowOff>
    </xdr:from>
    <xdr:to>
      <xdr:col>32</xdr:col>
      <xdr:colOff>386312</xdr:colOff>
      <xdr:row>43</xdr:row>
      <xdr:rowOff>107390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8DEBD92-F6E6-45C2-8385-E4B75560C3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288638</xdr:colOff>
      <xdr:row>93</xdr:row>
      <xdr:rowOff>140856</xdr:rowOff>
    </xdr:from>
    <xdr:to>
      <xdr:col>33</xdr:col>
      <xdr:colOff>392546</xdr:colOff>
      <xdr:row>139</xdr:row>
      <xdr:rowOff>115455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638099C-D5F3-416F-A818-4D97998657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36</xdr:col>
      <xdr:colOff>270932</xdr:colOff>
      <xdr:row>18</xdr:row>
      <xdr:rowOff>0</xdr:rowOff>
    </xdr:from>
    <xdr:to>
      <xdr:col>54</xdr:col>
      <xdr:colOff>304799</xdr:colOff>
      <xdr:row>73</xdr:row>
      <xdr:rowOff>67733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2CAF629-804D-483C-9A8D-5C96B5BE54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279400</xdr:colOff>
      <xdr:row>0</xdr:row>
      <xdr:rowOff>57150</xdr:rowOff>
    </xdr:from>
    <xdr:to>
      <xdr:col>14</xdr:col>
      <xdr:colOff>895991</xdr:colOff>
      <xdr:row>14</xdr:row>
      <xdr:rowOff>58212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2E5D5EF-D4F7-40C7-AC94-63114D5A3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23300" y="57150"/>
          <a:ext cx="5347341" cy="2579162"/>
        </a:xfrm>
        <a:prstGeom prst="rect">
          <a:avLst/>
        </a:prstGeom>
      </xdr:spPr>
    </xdr:pic>
    <xdr:clientData/>
  </xdr:twoCellAnchor>
  <xdr:twoCellAnchor>
    <xdr:from>
      <xdr:col>3</xdr:col>
      <xdr:colOff>101600</xdr:colOff>
      <xdr:row>2</xdr:row>
      <xdr:rowOff>25400</xdr:rowOff>
    </xdr:from>
    <xdr:to>
      <xdr:col>3</xdr:col>
      <xdr:colOff>285750</xdr:colOff>
      <xdr:row>3</xdr:row>
      <xdr:rowOff>165100</xdr:rowOff>
    </xdr:to>
    <xdr:sp macro="" textlink="">
      <xdr:nvSpPr>
        <xdr:cNvPr id="3" name="Right Brace 2">
          <a:extLst>
            <a:ext uri="{FF2B5EF4-FFF2-40B4-BE49-F238E27FC236}">
              <a16:creationId xmlns:a16="http://schemas.microsoft.com/office/drawing/2014/main" id="{D349427F-0318-4DEE-9B0D-05FF2B939C43}"/>
            </a:ext>
          </a:extLst>
        </xdr:cNvPr>
        <xdr:cNvSpPr/>
      </xdr:nvSpPr>
      <xdr:spPr>
        <a:xfrm>
          <a:off x="3448050" y="393700"/>
          <a:ext cx="184150" cy="323850"/>
        </a:xfrm>
        <a:prstGeom prst="rightBrace">
          <a:avLst/>
        </a:prstGeom>
        <a:ln w="127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</xdr:col>
      <xdr:colOff>323850</xdr:colOff>
      <xdr:row>2</xdr:row>
      <xdr:rowOff>82550</xdr:rowOff>
    </xdr:from>
    <xdr:to>
      <xdr:col>7</xdr:col>
      <xdr:colOff>0</xdr:colOff>
      <xdr:row>3</xdr:row>
      <xdr:rowOff>146050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A2A37B64-4A91-4E27-AAE5-03AD102E82BE}"/>
            </a:ext>
          </a:extLst>
        </xdr:cNvPr>
        <xdr:cNvSpPr txBox="1"/>
      </xdr:nvSpPr>
      <xdr:spPr>
        <a:xfrm>
          <a:off x="3670300" y="450850"/>
          <a:ext cx="4673600" cy="24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Submerged height during summer and winter conditions</a:t>
          </a:r>
        </a:p>
      </xdr:txBody>
    </xdr:sp>
    <xdr:clientData/>
  </xdr:twoCellAnchor>
  <xdr:twoCellAnchor editAs="oneCell">
    <xdr:from>
      <xdr:col>7</xdr:col>
      <xdr:colOff>270416</xdr:colOff>
      <xdr:row>16</xdr:row>
      <xdr:rowOff>36286</xdr:rowOff>
    </xdr:from>
    <xdr:to>
      <xdr:col>14</xdr:col>
      <xdr:colOff>980587</xdr:colOff>
      <xdr:row>29</xdr:row>
      <xdr:rowOff>73480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BE4FE5E-5381-4D45-AC8A-9026BAE3ED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614316" y="2989036"/>
          <a:ext cx="5440921" cy="2431144"/>
        </a:xfrm>
        <a:prstGeom prst="rect">
          <a:avLst/>
        </a:prstGeom>
      </xdr:spPr>
    </xdr:pic>
    <xdr:clientData/>
  </xdr:twoCellAnchor>
  <xdr:twoCellAnchor>
    <xdr:from>
      <xdr:col>6</xdr:col>
      <xdr:colOff>214216</xdr:colOff>
      <xdr:row>30</xdr:row>
      <xdr:rowOff>15302</xdr:rowOff>
    </xdr:from>
    <xdr:to>
      <xdr:col>11</xdr:col>
      <xdr:colOff>76505</xdr:colOff>
      <xdr:row>40</xdr:row>
      <xdr:rowOff>53555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7B83AE1F-5A0B-015B-0534-DA0C30A8B1C5}"/>
                </a:ext>
              </a:extLst>
            </xdr:cNvPr>
            <xdr:cNvSpPr txBox="1"/>
          </xdr:nvSpPr>
          <xdr:spPr>
            <a:xfrm>
              <a:off x="7466987" y="5539037"/>
              <a:ext cx="3419819" cy="1882048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GB" sz="1100"/>
                <a:t>Stagnant conditions: </a:t>
              </a: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𝐶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1</m:t>
                        </m:r>
                      </m:e>
                      <m:sub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𝐿𝐹</m:t>
                        </m:r>
                      </m:sub>
                    </m:sSub>
                    <m:r>
                      <a:rPr lang="en-GB" sz="1100" b="0" i="1">
                        <a:latin typeface="Cambria Math" panose="02040503050406030204" pitchFamily="18" charset="0"/>
                      </a:rPr>
                      <m:t>=2∗</m:t>
                    </m:r>
                    <m:sSub>
                      <m:sSub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𝐶</m:t>
                        </m:r>
                      </m:e>
                      <m:sub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𝐿</m:t>
                        </m:r>
                      </m:sub>
                    </m:sSub>
                    <m:r>
                      <a:rPr lang="en-GB" sz="1100" b="0" i="1">
                        <a:latin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𝑉𝑜𝑙</m:t>
                        </m:r>
                      </m:e>
                      <m:sub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𝐿</m:t>
                        </m:r>
                      </m:sub>
                    </m:sSub>
                    <m:r>
                      <a:rPr lang="en-GB" sz="1100" b="0" i="1">
                        <a:latin typeface="Cambria Math" panose="02040503050406030204" pitchFamily="18" charset="0"/>
                      </a:rPr>
                      <m:t>∗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24</m:t>
                        </m:r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1000</m:t>
                        </m:r>
                      </m:den>
                    </m:f>
                    <m:r>
                      <a:rPr lang="en-GB" sz="1100" b="0" i="0">
                        <a:latin typeface="Cambria Math" panose="02040503050406030204" pitchFamily="18" charset="0"/>
                      </a:rPr>
                      <m:t>∗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𝑀</m:t>
                            </m:r>
                          </m:e>
                          <m:sub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𝑠𝑢𝑏</m:t>
                            </m:r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</m:t>
                            </m:r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𝐿𝐹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GB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latin typeface="Cambria Math" panose="02040503050406030204" pitchFamily="18" charset="0"/>
                              </a:rPr>
                              <m:t>𝑀</m:t>
                            </m:r>
                          </m:e>
                          <m:sub>
                            <m:r>
                              <a:rPr lang="en-GB" sz="1100" b="0" i="1">
                                <a:latin typeface="Cambria Math" panose="02040503050406030204" pitchFamily="18" charset="0"/>
                              </a:rPr>
                              <m:t>𝐿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GB" sz="1100"/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𝐶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</m:t>
                        </m:r>
                      </m:e>
                      <m:sub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𝐻𝐹</m:t>
                        </m:r>
                      </m:sub>
                    </m:sSub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=2∗</m:t>
                    </m:r>
                    <m:sSub>
                      <m:sSubPr>
                        <m:ctrlP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𝐶</m:t>
                        </m:r>
                      </m:e>
                      <m:sub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𝐿</m:t>
                        </m:r>
                      </m:sub>
                    </m:sSub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∗</m:t>
                    </m:r>
                    <m:sSub>
                      <m:sSubPr>
                        <m:ctrlP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𝑉𝑜𝑙</m:t>
                        </m:r>
                      </m:e>
                      <m:sub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𝐿</m:t>
                        </m:r>
                      </m:sub>
                    </m:sSub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∗</m:t>
                    </m:r>
                    <m:f>
                      <m:fPr>
                        <m:ctrlP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24</m:t>
                        </m:r>
                      </m:num>
                      <m:den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1000</m:t>
                        </m:r>
                      </m:den>
                    </m:f>
                    <m:r>
                      <a:rPr lang="en-GB" sz="1100" b="0" i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∗</m:t>
                    </m:r>
                    <m:f>
                      <m:fPr>
                        <m:ctrlP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𝑀</m:t>
                            </m:r>
                          </m:e>
                          <m:sub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𝑠𝑢𝑏</m:t>
                            </m:r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</m:t>
                            </m:r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𝐻𝐹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𝑀</m:t>
                            </m:r>
                          </m:e>
                          <m:sub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GB" sz="1100"/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𝐶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e>
                      <m:sub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𝑠𝑡𝑎𝑔𝑛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𝐿𝐹</m:t>
                        </m:r>
                      </m:sub>
                    </m:sSub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GB" sz="11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𝐶</m:t>
                            </m:r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e>
                          <m:sub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𝑠𝑡𝑎𝑔𝑛</m:t>
                            </m:r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</m:t>
                            </m:r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𝐿𝐹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𝑉𝑜𝑙</m:t>
                            </m:r>
                          </m:e>
                          <m:sub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𝑤</m:t>
                            </m:r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</m:t>
                            </m:r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𝐿𝐹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GB" sz="1100"/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𝐶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e>
                      <m:sub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𝑠𝑡𝑎𝑔𝑛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𝐻𝐹</m:t>
                        </m:r>
                      </m:sub>
                    </m:sSub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GB" sz="11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𝐶</m:t>
                            </m:r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e>
                          <m:sub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𝑠𝑡𝑎𝑔𝑛</m:t>
                            </m:r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</m:t>
                            </m:r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𝐻𝐹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𝑉𝑜𝑙</m:t>
                            </m:r>
                          </m:e>
                          <m:sub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𝑤</m:t>
                            </m:r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</m:t>
                            </m:r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𝐻𝐹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7B83AE1F-5A0B-015B-0534-DA0C30A8B1C5}"/>
                </a:ext>
              </a:extLst>
            </xdr:cNvPr>
            <xdr:cNvSpPr txBox="1"/>
          </xdr:nvSpPr>
          <xdr:spPr>
            <a:xfrm>
              <a:off x="7466987" y="5539037"/>
              <a:ext cx="3419819" cy="1882048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GB" sz="1100"/>
                <a:t>Stagnant conditions: </a:t>
              </a:r>
            </a:p>
            <a:p>
              <a:r>
                <a:rPr lang="en-GB" sz="1100" i="0">
                  <a:latin typeface="Cambria Math" panose="02040503050406030204" pitchFamily="18" charset="0"/>
                </a:rPr>
                <a:t>〖</a:t>
              </a:r>
              <a:r>
                <a:rPr lang="en-GB" sz="1100" b="0" i="0">
                  <a:latin typeface="Cambria Math" panose="02040503050406030204" pitchFamily="18" charset="0"/>
                </a:rPr>
                <a:t>𝐶1〗_𝐿𝐹=2∗𝐶_𝐿∗〖𝑉𝑜𝑙〗_𝐿∗24/1000∗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𝑀_(𝑠𝑢𝑏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,𝐿𝐹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</a:t>
              </a:r>
              <a:r>
                <a:rPr lang="en-GB" sz="1100" b="0" i="0">
                  <a:latin typeface="Cambria Math" panose="02040503050406030204" pitchFamily="18" charset="0"/>
                </a:rPr>
                <a:t>𝑀_𝐿 </a:t>
              </a:r>
              <a:endParaRPr lang="en-GB" sz="1100"/>
            </a:p>
            <a:p>
              <a:r>
                <a:rPr lang="en-GB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𝐶1〗_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𝐻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𝐹=2∗𝐶_𝐿∗〖𝑉𝑜𝑙〗_𝐿∗24/1000∗𝑀_(𝑠𝑢𝑏,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𝐻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𝐹)/𝑀_𝐿 </a:t>
              </a:r>
              <a:endParaRPr lang="en-GB" sz="1100"/>
            </a:p>
            <a:p>
              <a:r>
                <a:rPr lang="en-GB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𝐶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〗_(𝑠𝑡𝑎𝑔𝑛,𝐿𝐹)=</a:t>
              </a:r>
              <a:r>
                <a:rPr lang="en-GB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𝐶1〗_(𝑠𝑡𝑎𝑔𝑛,𝐿𝐹)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/〖𝑉𝑜𝑙〗_(𝑤,𝐿𝐹) </a:t>
              </a:r>
              <a:endParaRPr lang="en-GB" sz="1100"/>
            </a:p>
            <a:p>
              <a:r>
                <a:rPr lang="en-GB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𝐶2〗_(𝑠𝑡𝑎𝑔𝑛,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𝐻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𝐹)=</a:t>
              </a:r>
              <a:r>
                <a:rPr lang="en-GB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𝐶1〗_(𝑠𝑡𝑎𝑔𝑛,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𝐻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𝐹)/〖𝑉𝑜𝑙〗_(𝑤,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𝐻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𝐹) </a:t>
              </a:r>
              <a:endParaRPr lang="en-GB" sz="1100"/>
            </a:p>
          </xdr:txBody>
        </xdr:sp>
      </mc:Fallback>
    </mc:AlternateContent>
    <xdr:clientData/>
  </xdr:twoCellAnchor>
  <xdr:twoCellAnchor>
    <xdr:from>
      <xdr:col>11</xdr:col>
      <xdr:colOff>190652</xdr:colOff>
      <xdr:row>30</xdr:row>
      <xdr:rowOff>7039</xdr:rowOff>
    </xdr:from>
    <xdr:to>
      <xdr:col>14</xdr:col>
      <xdr:colOff>1299989</xdr:colOff>
      <xdr:row>40</xdr:row>
      <xdr:rowOff>45292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6DC08305-E82A-4D63-9E34-2723EC343997}"/>
                </a:ext>
              </a:extLst>
            </xdr:cNvPr>
            <xdr:cNvSpPr txBox="1"/>
          </xdr:nvSpPr>
          <xdr:spPr>
            <a:xfrm>
              <a:off x="11000953" y="5530774"/>
              <a:ext cx="3419819" cy="1882048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GB" sz="1100"/>
                <a:t>Advective conditions: </a:t>
              </a: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𝐶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1</m:t>
                        </m:r>
                      </m:e>
                      <m:sub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𝐿𝐹</m:t>
                        </m:r>
                      </m:sub>
                    </m:sSub>
                    <m:r>
                      <a:rPr lang="en-GB" sz="1100" b="0" i="1">
                        <a:latin typeface="Cambria Math" panose="02040503050406030204" pitchFamily="18" charset="0"/>
                      </a:rPr>
                      <m:t>=2∗</m:t>
                    </m:r>
                    <m:sSub>
                      <m:sSub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𝐶</m:t>
                        </m:r>
                      </m:e>
                      <m:sub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𝐿</m:t>
                        </m:r>
                      </m:sub>
                    </m:sSub>
                    <m:r>
                      <a:rPr lang="en-GB" sz="1100" b="0" i="1">
                        <a:latin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𝑉𝑜𝑙</m:t>
                        </m:r>
                      </m:e>
                      <m:sub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𝐿</m:t>
                        </m:r>
                      </m:sub>
                    </m:sSub>
                    <m:r>
                      <a:rPr lang="en-GB" sz="1100" b="0" i="1">
                        <a:latin typeface="Cambria Math" panose="02040503050406030204" pitchFamily="18" charset="0"/>
                      </a:rPr>
                      <m:t>∗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24</m:t>
                        </m:r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1000</m:t>
                        </m:r>
                      </m:den>
                    </m:f>
                    <m:r>
                      <a:rPr lang="en-GB" sz="1100" b="0" i="0">
                        <a:latin typeface="Cambria Math" panose="02040503050406030204" pitchFamily="18" charset="0"/>
                      </a:rPr>
                      <m:t>∗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𝑀</m:t>
                            </m:r>
                          </m:e>
                          <m:sub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𝑠𝑢𝑏</m:t>
                            </m:r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</m:t>
                            </m:r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𝐿𝐹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GB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latin typeface="Cambria Math" panose="02040503050406030204" pitchFamily="18" charset="0"/>
                              </a:rPr>
                              <m:t>𝑀</m:t>
                            </m:r>
                          </m:e>
                          <m:sub>
                            <m:r>
                              <a:rPr lang="en-GB" sz="1100" b="0" i="1">
                                <a:latin typeface="Cambria Math" panose="02040503050406030204" pitchFamily="18" charset="0"/>
                              </a:rPr>
                              <m:t>𝐿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GB" sz="1100"/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𝐶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</m:t>
                        </m:r>
                      </m:e>
                      <m:sub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𝐻𝐹</m:t>
                        </m:r>
                      </m:sub>
                    </m:sSub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=2∗</m:t>
                    </m:r>
                    <m:sSub>
                      <m:sSubPr>
                        <m:ctrlP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𝐶</m:t>
                        </m:r>
                      </m:e>
                      <m:sub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𝐿</m:t>
                        </m:r>
                      </m:sub>
                    </m:sSub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∗</m:t>
                    </m:r>
                    <m:sSub>
                      <m:sSubPr>
                        <m:ctrlP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𝑉𝑜𝑙</m:t>
                        </m:r>
                      </m:e>
                      <m:sub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𝐿</m:t>
                        </m:r>
                      </m:sub>
                    </m:sSub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∗</m:t>
                    </m:r>
                    <m:f>
                      <m:fPr>
                        <m:ctrlP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24</m:t>
                        </m:r>
                      </m:num>
                      <m:den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1000</m:t>
                        </m:r>
                      </m:den>
                    </m:f>
                    <m:r>
                      <a:rPr lang="en-GB" sz="1100" b="0" i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∗</m:t>
                    </m:r>
                    <m:f>
                      <m:fPr>
                        <m:ctrlP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𝑀</m:t>
                            </m:r>
                          </m:e>
                          <m:sub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𝑠𝑢𝑏</m:t>
                            </m:r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</m:t>
                            </m:r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𝐻𝐹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𝑀</m:t>
                            </m:r>
                          </m:e>
                          <m:sub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GB" sz="1100"/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𝐶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e>
                      <m:sub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𝑄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𝐿𝐹</m:t>
                        </m:r>
                      </m:sub>
                    </m:sSub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GB" sz="11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𝐶</m:t>
                            </m:r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e>
                          <m:sub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𝑠𝑡𝑎𝑔𝑛</m:t>
                            </m:r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</m:t>
                            </m:r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𝐿𝐹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𝑉𝑜𝑙</m:t>
                            </m:r>
                          </m:e>
                          <m:sub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𝑤</m:t>
                            </m:r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</m:t>
                            </m:r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𝐿𝐹</m:t>
                            </m:r>
                          </m:sub>
                        </m:sSub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sSub>
                          <m:sSub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𝐹</m:t>
                            </m:r>
                          </m:e>
                          <m:sub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𝐿𝐹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GB" sz="1100"/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𝐶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e>
                      <m:sub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𝑄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𝐻𝐹</m:t>
                        </m:r>
                      </m:sub>
                    </m:sSub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GB" sz="11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𝐶</m:t>
                            </m:r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e>
                          <m:sub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𝑠𝑡𝑎𝑔𝑛</m:t>
                            </m:r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</m:t>
                            </m:r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𝐻𝐹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𝑉𝑜𝑙</m:t>
                            </m:r>
                          </m:e>
                          <m:sub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𝑤</m:t>
                            </m:r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</m:t>
                            </m:r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𝐻𝐹</m:t>
                            </m:r>
                          </m:sub>
                        </m:sSub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∗∗</m:t>
                        </m:r>
                        <m:sSub>
                          <m:sSub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𝐹</m:t>
                            </m:r>
                          </m:e>
                          <m:sub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𝐻𝐹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6DC08305-E82A-4D63-9E34-2723EC343997}"/>
                </a:ext>
              </a:extLst>
            </xdr:cNvPr>
            <xdr:cNvSpPr txBox="1"/>
          </xdr:nvSpPr>
          <xdr:spPr>
            <a:xfrm>
              <a:off x="11000953" y="5530774"/>
              <a:ext cx="3419819" cy="1882048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GB" sz="1100"/>
                <a:t>Advective conditions: </a:t>
              </a:r>
            </a:p>
            <a:p>
              <a:r>
                <a:rPr lang="en-GB" sz="1100" i="0">
                  <a:latin typeface="Cambria Math" panose="02040503050406030204" pitchFamily="18" charset="0"/>
                </a:rPr>
                <a:t>〖</a:t>
              </a:r>
              <a:r>
                <a:rPr lang="en-GB" sz="1100" b="0" i="0">
                  <a:latin typeface="Cambria Math" panose="02040503050406030204" pitchFamily="18" charset="0"/>
                </a:rPr>
                <a:t>𝐶1〗_𝐿𝐹=2∗𝐶_𝐿∗〖𝑉𝑜𝑙〗_𝐿∗24/1000∗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𝑀_(𝑠𝑢𝑏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,𝐿𝐹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</a:t>
              </a:r>
              <a:r>
                <a:rPr lang="en-GB" sz="1100" b="0" i="0">
                  <a:latin typeface="Cambria Math" panose="02040503050406030204" pitchFamily="18" charset="0"/>
                </a:rPr>
                <a:t>𝑀_𝐿 </a:t>
              </a:r>
              <a:endParaRPr lang="en-GB" sz="1100"/>
            </a:p>
            <a:p>
              <a:r>
                <a:rPr lang="en-GB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𝐶1〗_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𝐻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𝐹=2∗𝐶_𝐿∗〖𝑉𝑜𝑙〗_𝐿∗24/1000∗𝑀_(𝑠𝑢𝑏,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𝐻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𝐹)/𝑀_𝐿 </a:t>
              </a:r>
              <a:endParaRPr lang="en-GB" sz="1100"/>
            </a:p>
            <a:p>
              <a:r>
                <a:rPr lang="en-GB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𝐶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〗_(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𝑄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,𝐿𝐹)=</a:t>
              </a:r>
              <a:r>
                <a:rPr lang="en-GB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𝐶1〗_(𝑠𝑡𝑎𝑔𝑛,𝐿𝐹)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/(〖𝑉𝑜𝑙〗_(𝑤,𝐿𝐹)∗𝐹_𝐿𝐹 )</a:t>
              </a:r>
              <a:endParaRPr lang="en-GB" sz="1100"/>
            </a:p>
            <a:p>
              <a:r>
                <a:rPr lang="en-GB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𝐶2〗_(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𝑄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,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𝐻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𝐹)=</a:t>
              </a:r>
              <a:r>
                <a:rPr lang="en-GB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𝐶1〗_(𝑠𝑡𝑎𝑔𝑛,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𝐻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𝐹)/(〖𝑉𝑜𝑙〗_(𝑤,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𝐻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𝐹)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∗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∗𝐹_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𝐻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𝐹 )</a:t>
              </a:r>
              <a:endParaRPr lang="en-GB" sz="1100"/>
            </a:p>
          </xdr:txBody>
        </xdr:sp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tud365-my.sharepoint.com/personal/anativio_tudelft_nl/Documents/Files_Arianna/QERA/QERA_leaching_and_realcase.xlsx" TargetMode="External"/><Relationship Id="rId1" Type="http://schemas.openxmlformats.org/officeDocument/2006/relationships/externalLinkPath" Target="Files_Arianna/QERA/QERA_leaching_and_realcase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tud365-my.sharepoint.com/personal/anativio_tudelft_nl/Documents/Files_Arianna/QERA/QERA.xlsx" TargetMode="External"/><Relationship Id="rId1" Type="http://schemas.openxmlformats.org/officeDocument/2006/relationships/externalLinkPath" Target="Files_Arianna/QERA/QERA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tud365-my.sharepoint.com/personal/anativio_tudelft_nl/Documents/Files_Arianna/QERA/QERA_leaching_and_realcase.xlsx" TargetMode="External"/><Relationship Id="rId1" Type="http://schemas.openxmlformats.org/officeDocument/2006/relationships/externalLinkPath" Target="QERA_leaching_and_realca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8010_realcase (2)"/>
      <sheetName val="comparison_lab"/>
      <sheetName val="det_comparison_lab"/>
      <sheetName val="N8010_leaching"/>
      <sheetName val="N8010_realcase"/>
      <sheetName val="N8012_leaching"/>
      <sheetName val="N8012_realcase"/>
      <sheetName val="N8020_leaching"/>
      <sheetName val="N8020_realcase"/>
      <sheetName val="N8040_leaching"/>
      <sheetName val="N8040_realcase"/>
    </sheetNames>
    <sheetDataSet>
      <sheetData sheetId="0"/>
      <sheetData sheetId="1" refreshError="1"/>
      <sheetData sheetId="2"/>
      <sheetData sheetId="3">
        <row r="3">
          <cell r="B3" t="str">
            <v>Hg</v>
          </cell>
          <cell r="O3">
            <v>0</v>
          </cell>
          <cell r="P3">
            <v>0</v>
          </cell>
          <cell r="Q3">
            <v>0</v>
          </cell>
          <cell r="R3">
            <v>0.11929824561403507</v>
          </cell>
          <cell r="S3">
            <v>1</v>
          </cell>
        </row>
        <row r="4">
          <cell r="B4" t="str">
            <v>Ba</v>
          </cell>
          <cell r="O4">
            <v>0.15170008718395814</v>
          </cell>
          <cell r="P4">
            <v>5.9459459459459463E-2</v>
          </cell>
          <cell r="Q4">
            <v>1.7698343504795117E-2</v>
          </cell>
          <cell r="R4">
            <v>7.0531822144725365E-2</v>
          </cell>
          <cell r="S4">
            <v>1</v>
          </cell>
        </row>
        <row r="5">
          <cell r="B5" t="str">
            <v>B</v>
          </cell>
          <cell r="O5">
            <v>4.9310344827586207E-2</v>
          </cell>
          <cell r="P5">
            <v>2.6206896551724139E-2</v>
          </cell>
          <cell r="Q5">
            <v>9.655172413793104E-3</v>
          </cell>
          <cell r="R5">
            <v>1.2068965517241379E-2</v>
          </cell>
          <cell r="S5">
            <v>1</v>
          </cell>
        </row>
        <row r="6">
          <cell r="B6" t="str">
            <v>Co</v>
          </cell>
          <cell r="O6">
            <v>2.4905660377358489</v>
          </cell>
          <cell r="P6">
            <v>1.7075471698113207</v>
          </cell>
          <cell r="Q6">
            <v>0.68867924528301883</v>
          </cell>
          <cell r="R6">
            <v>0</v>
          </cell>
          <cell r="S6">
            <v>1</v>
          </cell>
        </row>
        <row r="7">
          <cell r="B7" t="str">
            <v>Cu</v>
          </cell>
          <cell r="O7">
            <v>10.333333333333332</v>
          </cell>
          <cell r="P7">
            <v>6.7301587301587302</v>
          </cell>
          <cell r="Q7">
            <v>3.3015873015873018</v>
          </cell>
          <cell r="R7">
            <v>2.4285714285714288</v>
          </cell>
          <cell r="S7">
            <v>1</v>
          </cell>
        </row>
        <row r="8">
          <cell r="B8" t="str">
            <v>Li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1</v>
          </cell>
        </row>
        <row r="9">
          <cell r="B9" t="str">
            <v>Mn</v>
          </cell>
          <cell r="O9">
            <v>10.970588235294118</v>
          </cell>
          <cell r="P9">
            <v>9.5</v>
          </cell>
          <cell r="Q9">
            <v>3.1470588235294117</v>
          </cell>
          <cell r="R9">
            <v>1.5176470588235293</v>
          </cell>
          <cell r="S9">
            <v>1</v>
          </cell>
        </row>
        <row r="10">
          <cell r="B10" t="str">
            <v>Mo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1</v>
          </cell>
        </row>
        <row r="11">
          <cell r="B11" t="str">
            <v>Sn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</v>
          </cell>
        </row>
        <row r="12">
          <cell r="B12" t="str">
            <v>V</v>
          </cell>
          <cell r="O12">
            <v>0.58536585365853666</v>
          </cell>
          <cell r="P12">
            <v>0.41463414634146345</v>
          </cell>
          <cell r="Q12">
            <v>0</v>
          </cell>
          <cell r="R12">
            <v>0</v>
          </cell>
          <cell r="S12">
            <v>1</v>
          </cell>
        </row>
        <row r="13">
          <cell r="B13" t="str">
            <v>Zn</v>
          </cell>
          <cell r="O13">
            <v>61.388888888888886</v>
          </cell>
          <cell r="P13">
            <v>48.541666666666664</v>
          </cell>
          <cell r="Q13">
            <v>23.888888888888889</v>
          </cell>
          <cell r="R13">
            <v>18.333333333333332</v>
          </cell>
          <cell r="S13">
            <v>1</v>
          </cell>
        </row>
        <row r="14">
          <cell r="B14" t="str">
            <v>Cd</v>
          </cell>
          <cell r="O14">
            <v>0.42105263157894735</v>
          </cell>
          <cell r="P14">
            <v>0.24736842105263157</v>
          </cell>
          <cell r="Q14">
            <v>0</v>
          </cell>
          <cell r="R14">
            <v>0</v>
          </cell>
          <cell r="S14">
            <v>1</v>
          </cell>
        </row>
        <row r="15">
          <cell r="B15" t="str">
            <v>Cr</v>
          </cell>
          <cell r="O15">
            <v>0.16307692307692309</v>
          </cell>
          <cell r="P15">
            <v>0</v>
          </cell>
          <cell r="Q15">
            <v>0</v>
          </cell>
          <cell r="R15">
            <v>0</v>
          </cell>
          <cell r="S15">
            <v>1</v>
          </cell>
        </row>
        <row r="16">
          <cell r="B16" t="str">
            <v>Ni</v>
          </cell>
          <cell r="O16">
            <v>1.3900000000000001</v>
          </cell>
          <cell r="P16">
            <v>0.95500000000000007</v>
          </cell>
          <cell r="Q16">
            <v>0.32799999999999996</v>
          </cell>
          <cell r="R16">
            <v>1.01</v>
          </cell>
          <cell r="S16">
            <v>1</v>
          </cell>
        </row>
        <row r="17">
          <cell r="B17" t="str">
            <v>Pb</v>
          </cell>
          <cell r="O17">
            <v>0.64166666666666672</v>
          </cell>
          <cell r="P17">
            <v>0</v>
          </cell>
          <cell r="Q17">
            <v>0</v>
          </cell>
          <cell r="R17">
            <v>0</v>
          </cell>
          <cell r="S17">
            <v>1</v>
          </cell>
        </row>
        <row r="18">
          <cell r="B18" t="str">
            <v>As</v>
          </cell>
          <cell r="O18">
            <v>0.45535714285714285</v>
          </cell>
          <cell r="P18">
            <v>0.27142857142857146</v>
          </cell>
          <cell r="Q18">
            <v>0</v>
          </cell>
          <cell r="R18">
            <v>0</v>
          </cell>
          <cell r="S18">
            <v>1</v>
          </cell>
        </row>
        <row r="19">
          <cell r="B19" t="str">
            <v>Styrene</v>
          </cell>
          <cell r="O19">
            <v>28.464285714285715</v>
          </cell>
          <cell r="P19">
            <v>0</v>
          </cell>
          <cell r="Q19">
            <v>0</v>
          </cell>
          <cell r="R19">
            <v>0</v>
          </cell>
          <cell r="S19">
            <v>1</v>
          </cell>
        </row>
        <row r="20">
          <cell r="B20" t="str">
            <v>FA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1</v>
          </cell>
        </row>
        <row r="23">
          <cell r="O23">
            <v>0</v>
          </cell>
        </row>
        <row r="24">
          <cell r="O24">
            <v>1.5170008718395812E-2</v>
          </cell>
        </row>
        <row r="25">
          <cell r="O25">
            <v>4.9310344827586212E-3</v>
          </cell>
        </row>
        <row r="26">
          <cell r="O26">
            <v>0.24905660377358491</v>
          </cell>
        </row>
        <row r="27">
          <cell r="O27">
            <v>1.0333333333333334</v>
          </cell>
        </row>
        <row r="28">
          <cell r="O28">
            <v>0</v>
          </cell>
        </row>
        <row r="29">
          <cell r="O29">
            <v>1.0970588235294116</v>
          </cell>
        </row>
        <row r="30">
          <cell r="O30">
            <v>0</v>
          </cell>
        </row>
        <row r="31">
          <cell r="O31">
            <v>0</v>
          </cell>
        </row>
        <row r="32">
          <cell r="O32">
            <v>5.8536585365853662E-2</v>
          </cell>
        </row>
        <row r="33">
          <cell r="O33">
            <v>6.1388888888888893</v>
          </cell>
        </row>
        <row r="34">
          <cell r="O34">
            <v>4.2105263157894736E-2</v>
          </cell>
        </row>
        <row r="35">
          <cell r="O35">
            <v>1.6307692307692308E-2</v>
          </cell>
        </row>
        <row r="36">
          <cell r="O36">
            <v>0.13900000000000001</v>
          </cell>
        </row>
        <row r="37">
          <cell r="O37">
            <v>6.4166666666666664E-2</v>
          </cell>
        </row>
        <row r="38">
          <cell r="O38">
            <v>4.553571428571429E-2</v>
          </cell>
        </row>
        <row r="39">
          <cell r="O39">
            <v>2.8464285714285715</v>
          </cell>
        </row>
        <row r="40">
          <cell r="O40">
            <v>0</v>
          </cell>
        </row>
        <row r="43">
          <cell r="O43">
            <v>0</v>
          </cell>
        </row>
        <row r="44">
          <cell r="O44">
            <v>7.585004359197906E-3</v>
          </cell>
        </row>
        <row r="45">
          <cell r="O45">
            <v>2.4655172413793106E-3</v>
          </cell>
        </row>
        <row r="46">
          <cell r="O46">
            <v>0.12452830188679245</v>
          </cell>
        </row>
        <row r="47">
          <cell r="O47">
            <v>0.51666666666666672</v>
          </cell>
        </row>
        <row r="48">
          <cell r="O48">
            <v>0</v>
          </cell>
        </row>
        <row r="49">
          <cell r="O49">
            <v>0.54852941176470582</v>
          </cell>
        </row>
        <row r="50">
          <cell r="O50">
            <v>0</v>
          </cell>
        </row>
        <row r="51">
          <cell r="O51">
            <v>0</v>
          </cell>
        </row>
        <row r="52">
          <cell r="O52">
            <v>2.9268292682926831E-2</v>
          </cell>
        </row>
        <row r="53">
          <cell r="O53">
            <v>3.0694444444444446</v>
          </cell>
        </row>
        <row r="54">
          <cell r="O54">
            <v>2.1052631578947368E-2</v>
          </cell>
        </row>
        <row r="55">
          <cell r="O55">
            <v>8.1538461538461539E-3</v>
          </cell>
        </row>
        <row r="56">
          <cell r="O56">
            <v>6.9500000000000006E-2</v>
          </cell>
        </row>
        <row r="57">
          <cell r="O57">
            <v>3.2083333333333332E-2</v>
          </cell>
        </row>
        <row r="58">
          <cell r="O58">
            <v>2.2767857142857145E-2</v>
          </cell>
        </row>
        <row r="59">
          <cell r="O59">
            <v>1.4232142857142858</v>
          </cell>
        </row>
        <row r="60">
          <cell r="O60">
            <v>0</v>
          </cell>
        </row>
        <row r="63">
          <cell r="O63">
            <v>0</v>
          </cell>
        </row>
        <row r="64">
          <cell r="O64">
            <v>3.0340017436791627E-3</v>
          </cell>
        </row>
        <row r="65">
          <cell r="O65">
            <v>9.8620689655172403E-4</v>
          </cell>
        </row>
        <row r="66">
          <cell r="O66">
            <v>4.9811320754716976E-2</v>
          </cell>
        </row>
        <row r="67">
          <cell r="O67">
            <v>0.20666666666666664</v>
          </cell>
        </row>
        <row r="68">
          <cell r="O68">
            <v>0</v>
          </cell>
        </row>
        <row r="69">
          <cell r="O69">
            <v>0.21941176470588236</v>
          </cell>
        </row>
        <row r="70">
          <cell r="O70">
            <v>0</v>
          </cell>
        </row>
        <row r="71">
          <cell r="O71">
            <v>0</v>
          </cell>
        </row>
        <row r="72">
          <cell r="O72">
            <v>1.1707317073170733E-2</v>
          </cell>
        </row>
        <row r="73">
          <cell r="O73">
            <v>1.2277777777777776</v>
          </cell>
        </row>
        <row r="74">
          <cell r="O74">
            <v>8.4210526315789472E-3</v>
          </cell>
        </row>
        <row r="75">
          <cell r="O75">
            <v>3.2615384615384616E-3</v>
          </cell>
        </row>
        <row r="76">
          <cell r="O76">
            <v>2.7800000000000002E-2</v>
          </cell>
        </row>
        <row r="77">
          <cell r="O77">
            <v>1.2833333333333334E-2</v>
          </cell>
        </row>
        <row r="78">
          <cell r="O78">
            <v>9.1071428571428571E-3</v>
          </cell>
        </row>
        <row r="79">
          <cell r="O79">
            <v>0.56928571428571428</v>
          </cell>
        </row>
        <row r="80">
          <cell r="O80">
            <v>0</v>
          </cell>
        </row>
        <row r="83">
          <cell r="O83">
            <v>0</v>
          </cell>
        </row>
        <row r="84">
          <cell r="O84">
            <v>2.5283347863993022E-3</v>
          </cell>
        </row>
        <row r="85">
          <cell r="O85">
            <v>8.2183908045977013E-4</v>
          </cell>
        </row>
        <row r="86">
          <cell r="O86">
            <v>4.1509433962264156E-2</v>
          </cell>
        </row>
        <row r="87">
          <cell r="O87">
            <v>0.17222222222222222</v>
          </cell>
        </row>
        <row r="88">
          <cell r="O88">
            <v>0</v>
          </cell>
        </row>
        <row r="89">
          <cell r="O89">
            <v>0.18284313725490198</v>
          </cell>
        </row>
        <row r="90">
          <cell r="O90">
            <v>0</v>
          </cell>
        </row>
        <row r="91">
          <cell r="O91">
            <v>0</v>
          </cell>
        </row>
        <row r="92">
          <cell r="O92">
            <v>9.7560975609756115E-3</v>
          </cell>
        </row>
        <row r="93">
          <cell r="O93">
            <v>1.0231481481481481</v>
          </cell>
        </row>
        <row r="94">
          <cell r="O94">
            <v>7.0175438596491221E-3</v>
          </cell>
        </row>
        <row r="95">
          <cell r="O95">
            <v>2.7179487179487182E-3</v>
          </cell>
        </row>
        <row r="96">
          <cell r="O96">
            <v>2.3166666666666665E-2</v>
          </cell>
        </row>
        <row r="97">
          <cell r="O97">
            <v>1.0694444444444446E-2</v>
          </cell>
        </row>
        <row r="98">
          <cell r="O98">
            <v>7.5892857142857142E-3</v>
          </cell>
        </row>
        <row r="99">
          <cell r="O99">
            <v>0.47440476190476188</v>
          </cell>
        </row>
        <row r="100">
          <cell r="O100">
            <v>0</v>
          </cell>
        </row>
        <row r="103">
          <cell r="O103">
            <v>0</v>
          </cell>
        </row>
        <row r="104">
          <cell r="O104">
            <v>2.1671441026279736E-3</v>
          </cell>
        </row>
        <row r="105">
          <cell r="O105">
            <v>7.0443349753694575E-4</v>
          </cell>
        </row>
        <row r="106">
          <cell r="O106">
            <v>3.5579514824797841E-2</v>
          </cell>
        </row>
        <row r="107">
          <cell r="O107">
            <v>0.14761904761904762</v>
          </cell>
        </row>
        <row r="108">
          <cell r="O108">
            <v>0</v>
          </cell>
        </row>
        <row r="109">
          <cell r="O109">
            <v>0.15672268907563025</v>
          </cell>
        </row>
        <row r="110">
          <cell r="O110">
            <v>0</v>
          </cell>
        </row>
        <row r="111">
          <cell r="O111">
            <v>0</v>
          </cell>
        </row>
        <row r="112">
          <cell r="O112">
            <v>8.3623693379790958E-3</v>
          </cell>
        </row>
        <row r="113">
          <cell r="O113">
            <v>0.87698412698412698</v>
          </cell>
        </row>
        <row r="114">
          <cell r="O114">
            <v>6.0150375939849628E-3</v>
          </cell>
        </row>
        <row r="115">
          <cell r="O115">
            <v>2.3296703296703299E-3</v>
          </cell>
        </row>
        <row r="116">
          <cell r="O116">
            <v>1.9857142857142858E-2</v>
          </cell>
        </row>
        <row r="117">
          <cell r="O117">
            <v>9.1666666666666684E-3</v>
          </cell>
        </row>
        <row r="118">
          <cell r="O118">
            <v>6.5051020408163265E-3</v>
          </cell>
        </row>
        <row r="119">
          <cell r="O119">
            <v>0.40663265306122448</v>
          </cell>
        </row>
        <row r="120">
          <cell r="O120">
            <v>0</v>
          </cell>
        </row>
        <row r="123">
          <cell r="O123">
            <v>0</v>
          </cell>
        </row>
        <row r="124">
          <cell r="O124">
            <v>1.8962510897994765E-3</v>
          </cell>
        </row>
        <row r="125">
          <cell r="O125">
            <v>6.1637931034482765E-4</v>
          </cell>
        </row>
        <row r="126">
          <cell r="O126">
            <v>3.1132075471698113E-2</v>
          </cell>
        </row>
        <row r="127">
          <cell r="O127">
            <v>0.12916666666666668</v>
          </cell>
        </row>
        <row r="128">
          <cell r="O128">
            <v>0</v>
          </cell>
        </row>
        <row r="129">
          <cell r="O129">
            <v>0.13713235294117646</v>
          </cell>
        </row>
        <row r="130">
          <cell r="O130">
            <v>0</v>
          </cell>
        </row>
        <row r="131">
          <cell r="O131">
            <v>0</v>
          </cell>
        </row>
        <row r="132">
          <cell r="O132">
            <v>7.3170731707317077E-3</v>
          </cell>
        </row>
        <row r="133">
          <cell r="O133">
            <v>0.76736111111111116</v>
          </cell>
        </row>
        <row r="134">
          <cell r="O134">
            <v>5.263157894736842E-3</v>
          </cell>
        </row>
        <row r="135">
          <cell r="O135">
            <v>2.0384615384615385E-3</v>
          </cell>
        </row>
        <row r="136">
          <cell r="O136">
            <v>1.7375000000000002E-2</v>
          </cell>
        </row>
        <row r="137">
          <cell r="O137">
            <v>8.0208333333333329E-3</v>
          </cell>
        </row>
        <row r="138">
          <cell r="O138">
            <v>5.6919642857142863E-3</v>
          </cell>
        </row>
        <row r="139">
          <cell r="O139">
            <v>0.35580357142857144</v>
          </cell>
        </row>
        <row r="140">
          <cell r="O140">
            <v>0</v>
          </cell>
        </row>
      </sheetData>
      <sheetData sheetId="4"/>
      <sheetData sheetId="5">
        <row r="3">
          <cell r="B3" t="str">
            <v>Hg</v>
          </cell>
          <cell r="O3">
            <v>0</v>
          </cell>
          <cell r="P3">
            <v>0</v>
          </cell>
          <cell r="Q3">
            <v>0</v>
          </cell>
          <cell r="R3">
            <v>0.46666666666666662</v>
          </cell>
          <cell r="S3">
            <v>1</v>
          </cell>
        </row>
        <row r="4">
          <cell r="B4" t="str">
            <v>Ba</v>
          </cell>
          <cell r="O4">
            <v>0.14908456843940715</v>
          </cell>
          <cell r="P4">
            <v>0.15518744551002617</v>
          </cell>
          <cell r="Q4">
            <v>5.2659110723626855E-2</v>
          </cell>
          <cell r="R4">
            <v>3.5396687009590234E-2</v>
          </cell>
          <cell r="S4">
            <v>1</v>
          </cell>
        </row>
        <row r="5">
          <cell r="B5" t="str">
            <v>B</v>
          </cell>
          <cell r="O5">
            <v>2.0344827586206895E-2</v>
          </cell>
          <cell r="P5">
            <v>2.2758620689655173E-2</v>
          </cell>
          <cell r="Q5">
            <v>1.1379310344827587E-2</v>
          </cell>
          <cell r="R5">
            <v>0</v>
          </cell>
          <cell r="S5">
            <v>1</v>
          </cell>
        </row>
        <row r="6">
          <cell r="B6" t="str">
            <v>Co</v>
          </cell>
          <cell r="O6">
            <v>2.3584905660377355</v>
          </cell>
          <cell r="P6">
            <v>3.0188679245283021</v>
          </cell>
          <cell r="Q6">
            <v>0.64150943396226412</v>
          </cell>
          <cell r="R6">
            <v>0</v>
          </cell>
          <cell r="S6">
            <v>1</v>
          </cell>
        </row>
        <row r="7">
          <cell r="B7" t="str">
            <v>Cu</v>
          </cell>
          <cell r="O7">
            <v>8.9841269841269842</v>
          </cell>
          <cell r="P7">
            <v>4.4285714285714288</v>
          </cell>
          <cell r="Q7">
            <v>5.7460317460317469</v>
          </cell>
          <cell r="R7">
            <v>1.6984126984126984</v>
          </cell>
          <cell r="S7">
            <v>1</v>
          </cell>
        </row>
        <row r="8">
          <cell r="B8" t="str">
            <v>Li</v>
          </cell>
          <cell r="O8">
            <v>1.5757575757575758E-3</v>
          </cell>
          <cell r="P8">
            <v>0</v>
          </cell>
          <cell r="Q8">
            <v>0</v>
          </cell>
          <cell r="R8">
            <v>0</v>
          </cell>
          <cell r="S8">
            <v>1</v>
          </cell>
        </row>
        <row r="9">
          <cell r="B9" t="str">
            <v>Mn</v>
          </cell>
          <cell r="O9">
            <v>10.029411764705882</v>
          </cell>
          <cell r="P9">
            <v>12.147058823529411</v>
          </cell>
          <cell r="Q9">
            <v>3.4705882352941178</v>
          </cell>
          <cell r="R9">
            <v>1.6588235294117646</v>
          </cell>
          <cell r="S9">
            <v>1</v>
          </cell>
        </row>
        <row r="10">
          <cell r="B10" t="str">
            <v>Mo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1</v>
          </cell>
        </row>
        <row r="11">
          <cell r="B11" t="str">
            <v>Sn</v>
          </cell>
          <cell r="O11">
            <v>1.7729729729729728</v>
          </cell>
          <cell r="P11">
            <v>2.8648648648648649</v>
          </cell>
          <cell r="Q11">
            <v>1.4405405405405405</v>
          </cell>
          <cell r="R11">
            <v>1.2729729729729731</v>
          </cell>
          <cell r="S11">
            <v>1</v>
          </cell>
        </row>
        <row r="12">
          <cell r="B12" t="str">
            <v>V</v>
          </cell>
          <cell r="O12">
            <v>0.24390243902439027</v>
          </cell>
          <cell r="P12">
            <v>0</v>
          </cell>
          <cell r="Q12">
            <v>0</v>
          </cell>
          <cell r="R12">
            <v>0</v>
          </cell>
          <cell r="S12">
            <v>1</v>
          </cell>
        </row>
        <row r="13">
          <cell r="B13" t="str">
            <v>Zn</v>
          </cell>
          <cell r="O13">
            <v>38.194444444444443</v>
          </cell>
          <cell r="P13">
            <v>53.680555555555557</v>
          </cell>
          <cell r="Q13">
            <v>20</v>
          </cell>
          <cell r="R13">
            <v>17.291666666666668</v>
          </cell>
          <cell r="S13">
            <v>1</v>
          </cell>
        </row>
        <row r="14">
          <cell r="B14" t="str">
            <v>Cd</v>
          </cell>
          <cell r="O14">
            <v>0.49473684210526314</v>
          </cell>
          <cell r="P14">
            <v>0</v>
          </cell>
          <cell r="Q14">
            <v>0</v>
          </cell>
          <cell r="R14">
            <v>0</v>
          </cell>
          <cell r="S14">
            <v>1</v>
          </cell>
        </row>
        <row r="15">
          <cell r="B15" t="str">
            <v>Cr</v>
          </cell>
          <cell r="O15">
            <v>6.5384615384615388E-2</v>
          </cell>
          <cell r="P15">
            <v>0</v>
          </cell>
          <cell r="Q15">
            <v>0</v>
          </cell>
          <cell r="R15">
            <v>0</v>
          </cell>
          <cell r="S15">
            <v>1</v>
          </cell>
        </row>
        <row r="16">
          <cell r="B16" t="str">
            <v>Ni</v>
          </cell>
          <cell r="O16">
            <v>3.18</v>
          </cell>
          <cell r="P16">
            <v>2.9950000000000001</v>
          </cell>
          <cell r="Q16">
            <v>1.2849999999999999</v>
          </cell>
          <cell r="R16">
            <v>0.9</v>
          </cell>
          <cell r="S16">
            <v>1</v>
          </cell>
        </row>
        <row r="17">
          <cell r="B17" t="str">
            <v>Pb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1</v>
          </cell>
        </row>
        <row r="18">
          <cell r="B18" t="str">
            <v>As</v>
          </cell>
          <cell r="O18">
            <v>0.40357142857142858</v>
          </cell>
          <cell r="P18">
            <v>0.36607142857142855</v>
          </cell>
          <cell r="Q18">
            <v>0</v>
          </cell>
          <cell r="R18">
            <v>0</v>
          </cell>
          <cell r="S18">
            <v>1</v>
          </cell>
        </row>
        <row r="19">
          <cell r="B19" t="str">
            <v>Styrene</v>
          </cell>
          <cell r="O19">
            <v>95.714285714285708</v>
          </cell>
          <cell r="P19">
            <v>0</v>
          </cell>
          <cell r="Q19">
            <v>0</v>
          </cell>
          <cell r="R19">
            <v>0</v>
          </cell>
          <cell r="S19">
            <v>1</v>
          </cell>
        </row>
        <row r="20">
          <cell r="B20" t="str">
            <v>FA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1</v>
          </cell>
        </row>
        <row r="23">
          <cell r="O23">
            <v>0</v>
          </cell>
        </row>
        <row r="24">
          <cell r="O24">
            <v>1.4908456843940716E-2</v>
          </cell>
        </row>
        <row r="25">
          <cell r="O25">
            <v>2.0344827586206899E-3</v>
          </cell>
        </row>
        <row r="26">
          <cell r="O26">
            <v>0.23584905660377356</v>
          </cell>
        </row>
        <row r="27">
          <cell r="O27">
            <v>0.89841269841269844</v>
          </cell>
        </row>
        <row r="28">
          <cell r="O28">
            <v>1.5757575757575757E-4</v>
          </cell>
        </row>
        <row r="29">
          <cell r="O29">
            <v>1.0029411764705882</v>
          </cell>
        </row>
        <row r="30">
          <cell r="O30">
            <v>0</v>
          </cell>
        </row>
        <row r="31">
          <cell r="O31">
            <v>0.17729729729729729</v>
          </cell>
        </row>
        <row r="32">
          <cell r="O32">
            <v>2.4390243902439029E-2</v>
          </cell>
        </row>
        <row r="33">
          <cell r="O33">
            <v>3.8194444444444442</v>
          </cell>
        </row>
        <row r="34">
          <cell r="O34">
            <v>4.9473684210526316E-2</v>
          </cell>
        </row>
        <row r="35">
          <cell r="O35">
            <v>6.5384615384615381E-3</v>
          </cell>
        </row>
        <row r="36">
          <cell r="O36">
            <v>0.318</v>
          </cell>
        </row>
        <row r="37">
          <cell r="O37">
            <v>0</v>
          </cell>
        </row>
        <row r="38">
          <cell r="O38">
            <v>4.0357142857142855E-2</v>
          </cell>
        </row>
        <row r="39">
          <cell r="O39">
            <v>9.5714285714285712</v>
          </cell>
        </row>
        <row r="40">
          <cell r="O40">
            <v>0</v>
          </cell>
        </row>
        <row r="43">
          <cell r="O43">
            <v>0</v>
          </cell>
        </row>
        <row r="44">
          <cell r="O44">
            <v>7.4542284219703582E-3</v>
          </cell>
        </row>
        <row r="45">
          <cell r="O45">
            <v>1.017241379310345E-3</v>
          </cell>
        </row>
        <row r="46">
          <cell r="O46">
            <v>0.11792452830188678</v>
          </cell>
        </row>
        <row r="47">
          <cell r="O47">
            <v>0.44920634920634922</v>
          </cell>
        </row>
        <row r="48">
          <cell r="O48">
            <v>7.8787878787878787E-5</v>
          </cell>
        </row>
        <row r="49">
          <cell r="O49">
            <v>0.50147058823529411</v>
          </cell>
        </row>
        <row r="50">
          <cell r="O50">
            <v>0</v>
          </cell>
        </row>
        <row r="51">
          <cell r="O51">
            <v>8.8648648648648645E-2</v>
          </cell>
        </row>
        <row r="52">
          <cell r="O52">
            <v>1.2195121951219514E-2</v>
          </cell>
        </row>
        <row r="53">
          <cell r="O53">
            <v>1.9097222222222221</v>
          </cell>
        </row>
        <row r="54">
          <cell r="O54">
            <v>2.4736842105263158E-2</v>
          </cell>
        </row>
        <row r="55">
          <cell r="O55">
            <v>3.2692307692307691E-3</v>
          </cell>
        </row>
        <row r="56">
          <cell r="O56">
            <v>0.159</v>
          </cell>
        </row>
        <row r="57">
          <cell r="O57">
            <v>0</v>
          </cell>
        </row>
        <row r="58">
          <cell r="O58">
            <v>2.0178571428571428E-2</v>
          </cell>
        </row>
        <row r="59">
          <cell r="O59">
            <v>4.7857142857142856</v>
          </cell>
        </row>
        <row r="60">
          <cell r="O60">
            <v>0</v>
          </cell>
        </row>
        <row r="63">
          <cell r="O63">
            <v>0</v>
          </cell>
        </row>
        <row r="64">
          <cell r="O64">
            <v>2.9816913687881431E-3</v>
          </cell>
        </row>
        <row r="65">
          <cell r="O65">
            <v>4.0689655172413791E-4</v>
          </cell>
        </row>
        <row r="66">
          <cell r="O66">
            <v>4.716981132075472E-2</v>
          </cell>
        </row>
        <row r="67">
          <cell r="O67">
            <v>0.17968253968253969</v>
          </cell>
        </row>
        <row r="68">
          <cell r="O68">
            <v>3.1515151515151519E-5</v>
          </cell>
        </row>
        <row r="69">
          <cell r="O69">
            <v>0.20058823529411765</v>
          </cell>
        </row>
        <row r="70">
          <cell r="O70">
            <v>0</v>
          </cell>
        </row>
        <row r="71">
          <cell r="O71">
            <v>3.5459459459459455E-2</v>
          </cell>
        </row>
        <row r="72">
          <cell r="O72">
            <v>4.8780487804878057E-3</v>
          </cell>
        </row>
        <row r="73">
          <cell r="O73">
            <v>0.76388888888888884</v>
          </cell>
        </row>
        <row r="74">
          <cell r="O74">
            <v>9.8947368421052635E-3</v>
          </cell>
        </row>
        <row r="75">
          <cell r="O75">
            <v>1.3076923076923079E-3</v>
          </cell>
        </row>
        <row r="76">
          <cell r="O76">
            <v>6.3600000000000004E-2</v>
          </cell>
        </row>
        <row r="77">
          <cell r="O77">
            <v>0</v>
          </cell>
        </row>
        <row r="78">
          <cell r="O78">
            <v>8.0714285714285714E-3</v>
          </cell>
        </row>
        <row r="79">
          <cell r="O79">
            <v>1.9142857142857144</v>
          </cell>
        </row>
        <row r="80">
          <cell r="O80">
            <v>0</v>
          </cell>
        </row>
        <row r="83">
          <cell r="O83">
            <v>0</v>
          </cell>
        </row>
        <row r="84">
          <cell r="O84">
            <v>2.4847428073234527E-3</v>
          </cell>
        </row>
        <row r="85">
          <cell r="O85">
            <v>3.3908045977011495E-4</v>
          </cell>
        </row>
        <row r="86">
          <cell r="O86">
            <v>3.9308176100628929E-2</v>
          </cell>
        </row>
        <row r="87">
          <cell r="O87">
            <v>0.14973544973544975</v>
          </cell>
        </row>
        <row r="88">
          <cell r="O88">
            <v>2.6262626262626265E-5</v>
          </cell>
        </row>
        <row r="89">
          <cell r="O89">
            <v>0.16715686274509806</v>
          </cell>
        </row>
        <row r="90">
          <cell r="O90">
            <v>0</v>
          </cell>
        </row>
        <row r="91">
          <cell r="O91">
            <v>2.9549549549549546E-2</v>
          </cell>
        </row>
        <row r="92">
          <cell r="O92">
            <v>4.0650406504065045E-3</v>
          </cell>
        </row>
        <row r="93">
          <cell r="O93">
            <v>0.63657407407407407</v>
          </cell>
        </row>
        <row r="94">
          <cell r="O94">
            <v>8.2456140350877193E-3</v>
          </cell>
        </row>
        <row r="95">
          <cell r="O95">
            <v>1.0897435897435897E-3</v>
          </cell>
        </row>
        <row r="96">
          <cell r="O96">
            <v>5.3000000000000005E-2</v>
          </cell>
        </row>
        <row r="97">
          <cell r="O97">
            <v>0</v>
          </cell>
        </row>
        <row r="98">
          <cell r="O98">
            <v>6.7261904761904759E-3</v>
          </cell>
        </row>
        <row r="99">
          <cell r="O99">
            <v>1.5952380952380951</v>
          </cell>
        </row>
        <row r="100">
          <cell r="O100">
            <v>0</v>
          </cell>
        </row>
        <row r="103">
          <cell r="O103">
            <v>0</v>
          </cell>
        </row>
        <row r="104">
          <cell r="O104">
            <v>2.1297795491343877E-3</v>
          </cell>
        </row>
        <row r="105">
          <cell r="O105">
            <v>2.9064039408866995E-4</v>
          </cell>
        </row>
        <row r="106">
          <cell r="O106">
            <v>3.3692722371967652E-2</v>
          </cell>
        </row>
        <row r="107">
          <cell r="O107">
            <v>0.12834467120181406</v>
          </cell>
        </row>
        <row r="108">
          <cell r="O108">
            <v>2.2510822510822512E-5</v>
          </cell>
        </row>
        <row r="109">
          <cell r="O109">
            <v>0.14327731092436974</v>
          </cell>
        </row>
        <row r="110">
          <cell r="O110">
            <v>0</v>
          </cell>
        </row>
        <row r="111">
          <cell r="O111">
            <v>2.5328185328185326E-2</v>
          </cell>
        </row>
        <row r="112">
          <cell r="O112">
            <v>3.4843205574912892E-3</v>
          </cell>
        </row>
        <row r="113">
          <cell r="O113">
            <v>0.54563492063492058</v>
          </cell>
        </row>
        <row r="114">
          <cell r="O114">
            <v>7.0676691729323303E-3</v>
          </cell>
        </row>
        <row r="115">
          <cell r="O115">
            <v>9.3406593406593407E-4</v>
          </cell>
        </row>
        <row r="116">
          <cell r="O116">
            <v>4.5428571428571429E-2</v>
          </cell>
        </row>
        <row r="117">
          <cell r="O117">
            <v>0</v>
          </cell>
        </row>
        <row r="118">
          <cell r="O118">
            <v>5.7653061224489802E-3</v>
          </cell>
        </row>
        <row r="119">
          <cell r="O119">
            <v>1.3673469387755102</v>
          </cell>
        </row>
        <row r="120">
          <cell r="O120">
            <v>0</v>
          </cell>
        </row>
        <row r="123">
          <cell r="O123">
            <v>0</v>
          </cell>
        </row>
        <row r="124">
          <cell r="O124">
            <v>1.8635571054925896E-3</v>
          </cell>
        </row>
        <row r="125">
          <cell r="O125">
            <v>2.5431034482758624E-4</v>
          </cell>
        </row>
        <row r="126">
          <cell r="O126">
            <v>2.9481132075471695E-2</v>
          </cell>
        </row>
        <row r="127">
          <cell r="O127">
            <v>0.11230158730158731</v>
          </cell>
        </row>
        <row r="128">
          <cell r="O128">
            <v>1.9696969696969697E-5</v>
          </cell>
        </row>
        <row r="129">
          <cell r="O129">
            <v>0.12536764705882353</v>
          </cell>
        </row>
        <row r="130">
          <cell r="O130">
            <v>0</v>
          </cell>
        </row>
        <row r="131">
          <cell r="O131">
            <v>2.2162162162162161E-2</v>
          </cell>
        </row>
        <row r="132">
          <cell r="O132">
            <v>3.0487804878048786E-3</v>
          </cell>
        </row>
        <row r="133">
          <cell r="O133">
            <v>0.47743055555555552</v>
          </cell>
        </row>
        <row r="134">
          <cell r="O134">
            <v>6.1842105263157894E-3</v>
          </cell>
        </row>
        <row r="135">
          <cell r="O135">
            <v>8.1730769230769227E-4</v>
          </cell>
        </row>
        <row r="136">
          <cell r="O136">
            <v>3.9750000000000001E-2</v>
          </cell>
        </row>
        <row r="137">
          <cell r="O137">
            <v>0</v>
          </cell>
        </row>
        <row r="138">
          <cell r="O138">
            <v>5.0446428571428569E-3</v>
          </cell>
        </row>
        <row r="139">
          <cell r="O139">
            <v>1.1964285714285714</v>
          </cell>
        </row>
        <row r="140">
          <cell r="O140">
            <v>0</v>
          </cell>
        </row>
      </sheetData>
      <sheetData sheetId="6"/>
      <sheetData sheetId="7">
        <row r="3">
          <cell r="B3" t="str">
            <v>Hg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1</v>
          </cell>
        </row>
        <row r="4">
          <cell r="B4" t="str">
            <v>Ba</v>
          </cell>
          <cell r="O4">
            <v>3.4699215344376637E-2</v>
          </cell>
          <cell r="P4">
            <v>3.4873583260680033E-2</v>
          </cell>
          <cell r="Q4">
            <v>1.2205754141238012E-2</v>
          </cell>
          <cell r="R4">
            <v>3.9232781168265035E-2</v>
          </cell>
          <cell r="S4">
            <v>1</v>
          </cell>
        </row>
        <row r="5">
          <cell r="B5" t="str">
            <v>B</v>
          </cell>
          <cell r="O5">
            <v>0.01</v>
          </cell>
          <cell r="P5">
            <v>1.2068965517241379E-2</v>
          </cell>
          <cell r="Q5">
            <v>0</v>
          </cell>
          <cell r="R5">
            <v>0</v>
          </cell>
          <cell r="S5">
            <v>1</v>
          </cell>
        </row>
        <row r="6">
          <cell r="B6" t="str">
            <v>Co</v>
          </cell>
          <cell r="O6">
            <v>2.283018867924528</v>
          </cell>
          <cell r="P6">
            <v>2.9905660377358489</v>
          </cell>
          <cell r="Q6">
            <v>1</v>
          </cell>
          <cell r="R6">
            <v>0</v>
          </cell>
          <cell r="S6">
            <v>1</v>
          </cell>
        </row>
        <row r="7">
          <cell r="B7" t="str">
            <v>Cu</v>
          </cell>
          <cell r="O7">
            <v>6.1904761904761907</v>
          </cell>
          <cell r="P7">
            <v>2.7301587301587302</v>
          </cell>
          <cell r="Q7">
            <v>4.3015873015873023</v>
          </cell>
          <cell r="R7">
            <v>3.4285714285714288</v>
          </cell>
          <cell r="S7">
            <v>1</v>
          </cell>
        </row>
        <row r="8">
          <cell r="B8" t="str">
            <v>Li</v>
          </cell>
          <cell r="O8">
            <v>1.2121212121212121E-3</v>
          </cell>
          <cell r="P8">
            <v>1.8787878787878789E-3</v>
          </cell>
          <cell r="Q8">
            <v>0</v>
          </cell>
          <cell r="R8">
            <v>0</v>
          </cell>
          <cell r="S8">
            <v>1</v>
          </cell>
        </row>
        <row r="9">
          <cell r="B9" t="str">
            <v>Mn</v>
          </cell>
          <cell r="O9">
            <v>2.611764705882353</v>
          </cell>
          <cell r="P9">
            <v>3.8823529411764706</v>
          </cell>
          <cell r="Q9">
            <v>1.5029411764705882</v>
          </cell>
          <cell r="R9">
            <v>0.70294117647058818</v>
          </cell>
          <cell r="S9">
            <v>1</v>
          </cell>
        </row>
        <row r="10">
          <cell r="B10" t="str">
            <v>Mo</v>
          </cell>
          <cell r="O10">
            <v>2.0168067226890757E-4</v>
          </cell>
          <cell r="P10">
            <v>4.2016806722689078E-4</v>
          </cell>
          <cell r="Q10">
            <v>1.7647058823529413E-4</v>
          </cell>
          <cell r="R10">
            <v>0</v>
          </cell>
          <cell r="S10">
            <v>1</v>
          </cell>
        </row>
        <row r="11">
          <cell r="B11" t="str">
            <v>Sn</v>
          </cell>
          <cell r="O11">
            <v>4.2972972972972974</v>
          </cell>
          <cell r="P11">
            <v>9.8918918918918912</v>
          </cell>
          <cell r="Q11">
            <v>2.8648648648648649</v>
          </cell>
          <cell r="R11">
            <v>1.6594594594594594</v>
          </cell>
          <cell r="S11">
            <v>1</v>
          </cell>
        </row>
        <row r="12">
          <cell r="B12" t="str">
            <v>V</v>
          </cell>
          <cell r="O12">
            <v>0.70731707317073178</v>
          </cell>
          <cell r="P12">
            <v>1.2926829268292683</v>
          </cell>
          <cell r="Q12">
            <v>0.58536585365853666</v>
          </cell>
          <cell r="R12">
            <v>0.36585365853658541</v>
          </cell>
          <cell r="S12">
            <v>1</v>
          </cell>
        </row>
        <row r="13">
          <cell r="B13" t="str">
            <v>Zn</v>
          </cell>
          <cell r="O13">
            <v>25.347222222222221</v>
          </cell>
          <cell r="P13">
            <v>42.569444444444443</v>
          </cell>
          <cell r="Q13">
            <v>23.680555555555554</v>
          </cell>
          <cell r="R13">
            <v>16.805555555555554</v>
          </cell>
          <cell r="S13">
            <v>1</v>
          </cell>
        </row>
        <row r="14">
          <cell r="B14" t="str">
            <v>Cd</v>
          </cell>
          <cell r="O14">
            <v>0.29473684210526319</v>
          </cell>
          <cell r="P14">
            <v>0</v>
          </cell>
          <cell r="Q14">
            <v>0</v>
          </cell>
          <cell r="R14">
            <v>0</v>
          </cell>
          <cell r="S14">
            <v>1</v>
          </cell>
        </row>
        <row r="15">
          <cell r="B15" t="str">
            <v>Cr</v>
          </cell>
          <cell r="O15">
            <v>0.12523076923076923</v>
          </cell>
          <cell r="P15">
            <v>0.16153846153846155</v>
          </cell>
          <cell r="Q15">
            <v>0</v>
          </cell>
          <cell r="R15">
            <v>0</v>
          </cell>
          <cell r="S15">
            <v>1</v>
          </cell>
        </row>
        <row r="16">
          <cell r="B16" t="str">
            <v>Ni</v>
          </cell>
          <cell r="O16">
            <v>2.145</v>
          </cell>
          <cell r="P16">
            <v>1.61</v>
          </cell>
          <cell r="Q16">
            <v>0.59000000000000008</v>
          </cell>
          <cell r="R16">
            <v>0.33050000000000002</v>
          </cell>
          <cell r="S16">
            <v>1</v>
          </cell>
        </row>
        <row r="17">
          <cell r="B17" t="str">
            <v>Pb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1</v>
          </cell>
        </row>
        <row r="18">
          <cell r="B18" t="str">
            <v>As</v>
          </cell>
          <cell r="O18">
            <v>0.65535714285714286</v>
          </cell>
          <cell r="P18">
            <v>0.9553571428571429</v>
          </cell>
          <cell r="Q18">
            <v>0.28035714285714286</v>
          </cell>
          <cell r="R18">
            <v>0</v>
          </cell>
          <cell r="S18">
            <v>1</v>
          </cell>
        </row>
        <row r="19">
          <cell r="B19" t="str">
            <v>Styrene</v>
          </cell>
          <cell r="O19">
            <v>107.85714285714286</v>
          </cell>
          <cell r="P19">
            <v>0</v>
          </cell>
          <cell r="Q19">
            <v>0</v>
          </cell>
          <cell r="R19">
            <v>0</v>
          </cell>
          <cell r="S19">
            <v>1</v>
          </cell>
        </row>
        <row r="20">
          <cell r="B20" t="str">
            <v>FA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1</v>
          </cell>
        </row>
        <row r="23">
          <cell r="O23">
            <v>0</v>
          </cell>
        </row>
        <row r="24">
          <cell r="O24">
            <v>3.4699215344376638E-3</v>
          </cell>
        </row>
        <row r="25">
          <cell r="O25">
            <v>1E-3</v>
          </cell>
        </row>
        <row r="26">
          <cell r="O26">
            <v>0.22830188679245281</v>
          </cell>
        </row>
        <row r="27">
          <cell r="O27">
            <v>0.61904761904761907</v>
          </cell>
        </row>
        <row r="28">
          <cell r="O28">
            <v>1.2121212121212122E-4</v>
          </cell>
        </row>
        <row r="29">
          <cell r="O29">
            <v>0.26117647058823529</v>
          </cell>
        </row>
        <row r="30">
          <cell r="O30">
            <v>2.0168067226890756E-5</v>
          </cell>
        </row>
        <row r="31">
          <cell r="O31">
            <v>0.42972972972972973</v>
          </cell>
        </row>
        <row r="32">
          <cell r="O32">
            <v>7.0731707317073178E-2</v>
          </cell>
        </row>
        <row r="33">
          <cell r="O33">
            <v>2.5347222222222223</v>
          </cell>
        </row>
        <row r="34">
          <cell r="O34">
            <v>2.9473684210526315E-2</v>
          </cell>
        </row>
        <row r="35">
          <cell r="O35">
            <v>1.2523076923076923E-2</v>
          </cell>
        </row>
        <row r="36">
          <cell r="O36">
            <v>0.2145</v>
          </cell>
        </row>
        <row r="37">
          <cell r="O37">
            <v>0</v>
          </cell>
        </row>
        <row r="38">
          <cell r="O38">
            <v>6.5535714285714294E-2</v>
          </cell>
        </row>
        <row r="39">
          <cell r="O39">
            <v>10.785714285714286</v>
          </cell>
        </row>
        <row r="40">
          <cell r="O40">
            <v>0</v>
          </cell>
        </row>
        <row r="43">
          <cell r="O43">
            <v>0</v>
          </cell>
        </row>
        <row r="44">
          <cell r="O44">
            <v>1.7349607672188319E-3</v>
          </cell>
        </row>
        <row r="45">
          <cell r="O45">
            <v>5.0000000000000001E-4</v>
          </cell>
        </row>
        <row r="46">
          <cell r="O46">
            <v>0.1141509433962264</v>
          </cell>
        </row>
        <row r="47">
          <cell r="O47">
            <v>0.30952380952380953</v>
          </cell>
        </row>
        <row r="48">
          <cell r="O48">
            <v>6.0606060606060611E-5</v>
          </cell>
        </row>
        <row r="49">
          <cell r="O49">
            <v>0.13058823529411764</v>
          </cell>
        </row>
        <row r="50">
          <cell r="O50">
            <v>1.0084033613445378E-5</v>
          </cell>
        </row>
        <row r="51">
          <cell r="O51">
            <v>0.21486486486486486</v>
          </cell>
        </row>
        <row r="52">
          <cell r="O52">
            <v>3.5365853658536589E-2</v>
          </cell>
        </row>
        <row r="53">
          <cell r="O53">
            <v>1.2673611111111112</v>
          </cell>
        </row>
        <row r="54">
          <cell r="O54">
            <v>1.4736842105263158E-2</v>
          </cell>
        </row>
        <row r="55">
          <cell r="O55">
            <v>6.2615384615384616E-3</v>
          </cell>
        </row>
        <row r="56">
          <cell r="O56">
            <v>0.10725</v>
          </cell>
        </row>
        <row r="57">
          <cell r="O57">
            <v>0</v>
          </cell>
        </row>
        <row r="58">
          <cell r="O58">
            <v>3.2767857142857147E-2</v>
          </cell>
        </row>
        <row r="59">
          <cell r="O59">
            <v>5.3928571428571432</v>
          </cell>
        </row>
        <row r="60">
          <cell r="O60">
            <v>0</v>
          </cell>
        </row>
        <row r="63">
          <cell r="O63">
            <v>0</v>
          </cell>
        </row>
        <row r="64">
          <cell r="O64">
            <v>6.9398430688753267E-4</v>
          </cell>
        </row>
        <row r="65">
          <cell r="O65">
            <v>1.9999999999999998E-4</v>
          </cell>
        </row>
        <row r="66">
          <cell r="O66">
            <v>4.5660377358490566E-2</v>
          </cell>
        </row>
        <row r="67">
          <cell r="O67">
            <v>0.12380952380952381</v>
          </cell>
        </row>
        <row r="68">
          <cell r="O68">
            <v>2.4242424242424244E-5</v>
          </cell>
        </row>
        <row r="69">
          <cell r="O69">
            <v>5.223529411764706E-2</v>
          </cell>
        </row>
        <row r="70">
          <cell r="O70">
            <v>4.0336134453781513E-6</v>
          </cell>
        </row>
        <row r="71">
          <cell r="O71">
            <v>8.5945945945945956E-2</v>
          </cell>
        </row>
        <row r="72">
          <cell r="O72">
            <v>1.4146341463414635E-2</v>
          </cell>
        </row>
        <row r="73">
          <cell r="O73">
            <v>0.50694444444444442</v>
          </cell>
        </row>
        <row r="74">
          <cell r="O74">
            <v>5.8947368421052634E-3</v>
          </cell>
        </row>
        <row r="75">
          <cell r="O75">
            <v>2.5046153846153846E-3</v>
          </cell>
        </row>
        <row r="76">
          <cell r="O76">
            <v>4.2900000000000001E-2</v>
          </cell>
        </row>
        <row r="77">
          <cell r="O77">
            <v>0</v>
          </cell>
        </row>
        <row r="78">
          <cell r="O78">
            <v>1.3107142857142857E-2</v>
          </cell>
        </row>
        <row r="79">
          <cell r="O79">
            <v>2.157142857142857</v>
          </cell>
        </row>
        <row r="80">
          <cell r="O80">
            <v>0</v>
          </cell>
        </row>
        <row r="83">
          <cell r="O83">
            <v>0</v>
          </cell>
        </row>
        <row r="84">
          <cell r="O84">
            <v>5.7832025573961048E-4</v>
          </cell>
        </row>
        <row r="85">
          <cell r="O85">
            <v>1.6666666666666666E-4</v>
          </cell>
        </row>
        <row r="86">
          <cell r="O86">
            <v>3.8050314465408804E-2</v>
          </cell>
        </row>
        <row r="87">
          <cell r="O87">
            <v>0.10317460317460318</v>
          </cell>
        </row>
        <row r="88">
          <cell r="O88">
            <v>2.0202020202020203E-5</v>
          </cell>
        </row>
        <row r="89">
          <cell r="O89">
            <v>4.3529411764705879E-2</v>
          </cell>
        </row>
        <row r="90">
          <cell r="O90">
            <v>3.3613445378151261E-6</v>
          </cell>
        </row>
        <row r="91">
          <cell r="O91">
            <v>7.1621621621621626E-2</v>
          </cell>
        </row>
        <row r="92">
          <cell r="O92">
            <v>1.1788617886178862E-2</v>
          </cell>
        </row>
        <row r="93">
          <cell r="O93">
            <v>0.42245370370370366</v>
          </cell>
        </row>
        <row r="94">
          <cell r="O94">
            <v>4.9122807017543861E-3</v>
          </cell>
        </row>
        <row r="95">
          <cell r="O95">
            <v>2.0871794871794871E-3</v>
          </cell>
        </row>
        <row r="96">
          <cell r="O96">
            <v>3.5749999999999997E-2</v>
          </cell>
        </row>
        <row r="97">
          <cell r="O97">
            <v>0</v>
          </cell>
        </row>
        <row r="98">
          <cell r="O98">
            <v>1.0922619047619049E-2</v>
          </cell>
        </row>
        <row r="99">
          <cell r="O99">
            <v>1.7976190476190477</v>
          </cell>
        </row>
        <row r="100">
          <cell r="O100">
            <v>0</v>
          </cell>
        </row>
        <row r="103">
          <cell r="O103">
            <v>0</v>
          </cell>
        </row>
        <row r="104">
          <cell r="O104">
            <v>4.9570307634823764E-4</v>
          </cell>
        </row>
        <row r="105">
          <cell r="O105">
            <v>1.4285714285714287E-4</v>
          </cell>
        </row>
        <row r="106">
          <cell r="O106">
            <v>3.2614555256064687E-2</v>
          </cell>
        </row>
        <row r="107">
          <cell r="O107">
            <v>8.8435374149659865E-2</v>
          </cell>
        </row>
        <row r="108">
          <cell r="O108">
            <v>1.7316017316017315E-5</v>
          </cell>
        </row>
        <row r="109">
          <cell r="O109">
            <v>3.7310924369747894E-2</v>
          </cell>
        </row>
        <row r="110">
          <cell r="O110">
            <v>2.8811524609843937E-6</v>
          </cell>
        </row>
        <row r="111">
          <cell r="O111">
            <v>6.1389961389961389E-2</v>
          </cell>
        </row>
        <row r="112">
          <cell r="O112">
            <v>1.0104529616724738E-2</v>
          </cell>
        </row>
        <row r="113">
          <cell r="O113">
            <v>0.36210317460317459</v>
          </cell>
        </row>
        <row r="114">
          <cell r="O114">
            <v>4.2105263157894736E-3</v>
          </cell>
        </row>
        <row r="115">
          <cell r="O115">
            <v>1.7890109890109887E-3</v>
          </cell>
        </row>
        <row r="116">
          <cell r="O116">
            <v>3.0642857142857145E-2</v>
          </cell>
        </row>
        <row r="117">
          <cell r="O117">
            <v>0</v>
          </cell>
        </row>
        <row r="118">
          <cell r="O118">
            <v>9.3622448979591849E-3</v>
          </cell>
        </row>
        <row r="119">
          <cell r="O119">
            <v>1.5408163265306123</v>
          </cell>
        </row>
        <row r="120">
          <cell r="O120">
            <v>0</v>
          </cell>
        </row>
        <row r="123">
          <cell r="O123">
            <v>0</v>
          </cell>
        </row>
        <row r="124">
          <cell r="O124">
            <v>4.3374019180470797E-4</v>
          </cell>
        </row>
        <row r="125">
          <cell r="O125">
            <v>1.25E-4</v>
          </cell>
        </row>
        <row r="126">
          <cell r="O126">
            <v>2.8537735849056601E-2</v>
          </cell>
        </row>
        <row r="127">
          <cell r="O127">
            <v>7.7380952380952384E-2</v>
          </cell>
        </row>
        <row r="128">
          <cell r="O128">
            <v>1.5151515151515153E-5</v>
          </cell>
        </row>
        <row r="129">
          <cell r="O129">
            <v>3.2647058823529411E-2</v>
          </cell>
        </row>
        <row r="130">
          <cell r="O130">
            <v>2.5210084033613444E-6</v>
          </cell>
        </row>
        <row r="131">
          <cell r="O131">
            <v>5.3716216216216216E-2</v>
          </cell>
        </row>
        <row r="132">
          <cell r="O132">
            <v>8.8414634146341473E-3</v>
          </cell>
        </row>
        <row r="133">
          <cell r="O133">
            <v>0.31684027777777779</v>
          </cell>
        </row>
        <row r="134">
          <cell r="O134">
            <v>3.6842105263157894E-3</v>
          </cell>
        </row>
        <row r="135">
          <cell r="O135">
            <v>1.5653846153846154E-3</v>
          </cell>
        </row>
        <row r="136">
          <cell r="O136">
            <v>2.68125E-2</v>
          </cell>
        </row>
        <row r="137">
          <cell r="O137">
            <v>0</v>
          </cell>
        </row>
        <row r="138">
          <cell r="O138">
            <v>8.1919642857142868E-3</v>
          </cell>
        </row>
        <row r="139">
          <cell r="O139">
            <v>1.3482142857142858</v>
          </cell>
        </row>
        <row r="140">
          <cell r="O140">
            <v>0</v>
          </cell>
        </row>
      </sheetData>
      <sheetData sheetId="8"/>
      <sheetData sheetId="9">
        <row r="3">
          <cell r="B3" t="str">
            <v>Hg</v>
          </cell>
          <cell r="O3">
            <v>0.19122807017543858</v>
          </cell>
          <cell r="P3">
            <v>0.19122807017543858</v>
          </cell>
          <cell r="Q3">
            <v>0.10701754385964912</v>
          </cell>
          <cell r="R3">
            <v>0</v>
          </cell>
          <cell r="S3">
            <v>1</v>
          </cell>
        </row>
        <row r="4">
          <cell r="B4" t="str">
            <v>Ba</v>
          </cell>
          <cell r="O4">
            <v>0.90671316477768094</v>
          </cell>
          <cell r="P4">
            <v>1.0113339145597209</v>
          </cell>
          <cell r="Q4">
            <v>0.1089799476896251</v>
          </cell>
          <cell r="R4">
            <v>1.830863121185702E-2</v>
          </cell>
          <cell r="S4">
            <v>1</v>
          </cell>
        </row>
        <row r="5">
          <cell r="B5" t="str">
            <v>B</v>
          </cell>
          <cell r="O5">
            <v>4.8965517241379312E-2</v>
          </cell>
          <cell r="P5">
            <v>8.6896551724137933E-2</v>
          </cell>
          <cell r="Q5">
            <v>4.7931034482758622E-2</v>
          </cell>
          <cell r="R5">
            <v>2.0689655172413793E-2</v>
          </cell>
          <cell r="S5">
            <v>1</v>
          </cell>
        </row>
        <row r="6">
          <cell r="B6" t="str">
            <v>Co</v>
          </cell>
          <cell r="O6">
            <v>20.943396226415093</v>
          </cell>
          <cell r="P6">
            <v>18.39622641509434</v>
          </cell>
          <cell r="Q6">
            <v>3.4811320754716979</v>
          </cell>
          <cell r="R6">
            <v>0</v>
          </cell>
          <cell r="S6">
            <v>1</v>
          </cell>
        </row>
        <row r="7">
          <cell r="B7" t="str">
            <v>Cu</v>
          </cell>
          <cell r="O7">
            <v>50.63492063492064</v>
          </cell>
          <cell r="P7">
            <v>23.015873015873016</v>
          </cell>
          <cell r="Q7">
            <v>3.4920634920634921</v>
          </cell>
          <cell r="R7">
            <v>0</v>
          </cell>
          <cell r="S7">
            <v>1</v>
          </cell>
        </row>
        <row r="8">
          <cell r="B8" t="str">
            <v>Li</v>
          </cell>
          <cell r="O8">
            <v>1.0545454545454545E-2</v>
          </cell>
          <cell r="P8">
            <v>1.7030303030303031E-2</v>
          </cell>
          <cell r="Q8">
            <v>7.2121212121212122E-3</v>
          </cell>
          <cell r="R8">
            <v>0</v>
          </cell>
          <cell r="S8">
            <v>1</v>
          </cell>
        </row>
        <row r="9">
          <cell r="B9" t="str">
            <v>Mn</v>
          </cell>
          <cell r="O9">
            <v>23.941176470588236</v>
          </cell>
          <cell r="P9">
            <v>29.411764705882351</v>
          </cell>
          <cell r="Q9">
            <v>8.3529411764705888</v>
          </cell>
          <cell r="R9">
            <v>1.8499999999999999</v>
          </cell>
          <cell r="S9">
            <v>1</v>
          </cell>
        </row>
        <row r="10">
          <cell r="B10" t="str">
            <v>Mo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1</v>
          </cell>
        </row>
        <row r="11">
          <cell r="B11" t="str">
            <v>Sn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</v>
          </cell>
        </row>
        <row r="12">
          <cell r="B12" t="str">
            <v>V</v>
          </cell>
          <cell r="O12">
            <v>0.70731707317073178</v>
          </cell>
          <cell r="P12">
            <v>0.87804878048780499</v>
          </cell>
          <cell r="Q12">
            <v>0.26829268292682934</v>
          </cell>
          <cell r="R12">
            <v>0</v>
          </cell>
          <cell r="S12">
            <v>1</v>
          </cell>
        </row>
        <row r="13">
          <cell r="B13" t="str">
            <v>Zn</v>
          </cell>
          <cell r="O13">
            <v>120.83333333333333</v>
          </cell>
          <cell r="P13">
            <v>134.02777777777777</v>
          </cell>
          <cell r="Q13">
            <v>44.375</v>
          </cell>
          <cell r="R13">
            <v>8.8194444444444446</v>
          </cell>
          <cell r="S13">
            <v>1</v>
          </cell>
        </row>
        <row r="14">
          <cell r="B14" t="str">
            <v>Cd</v>
          </cell>
          <cell r="O14">
            <v>9.8421052631578956</v>
          </cell>
          <cell r="P14">
            <v>10.578947368421051</v>
          </cell>
          <cell r="Q14">
            <v>0</v>
          </cell>
          <cell r="R14">
            <v>0</v>
          </cell>
          <cell r="S14">
            <v>1</v>
          </cell>
        </row>
        <row r="15">
          <cell r="B15" t="str">
            <v>Cr</v>
          </cell>
          <cell r="O15">
            <v>2.0153846153846153</v>
          </cell>
          <cell r="P15">
            <v>2.8</v>
          </cell>
          <cell r="Q15">
            <v>0.84769230769230763</v>
          </cell>
          <cell r="R15">
            <v>0.1553846153846154</v>
          </cell>
          <cell r="S15">
            <v>1</v>
          </cell>
        </row>
        <row r="16">
          <cell r="B16" t="str">
            <v>Ni</v>
          </cell>
          <cell r="O16">
            <v>4.4649999999999999</v>
          </cell>
          <cell r="P16">
            <v>4.41</v>
          </cell>
          <cell r="Q16">
            <v>3.4950000000000001</v>
          </cell>
          <cell r="R16">
            <v>0.745</v>
          </cell>
          <cell r="S16">
            <v>1</v>
          </cell>
        </row>
        <row r="17">
          <cell r="B17" t="str">
            <v>Pb</v>
          </cell>
          <cell r="O17">
            <v>7.5</v>
          </cell>
          <cell r="P17">
            <v>13.875</v>
          </cell>
          <cell r="Q17">
            <v>0.42083333333333334</v>
          </cell>
          <cell r="R17">
            <v>0</v>
          </cell>
          <cell r="S17">
            <v>1</v>
          </cell>
        </row>
        <row r="18">
          <cell r="B18" t="str">
            <v>As</v>
          </cell>
          <cell r="O18">
            <v>0.79821428571428577</v>
          </cell>
          <cell r="P18">
            <v>1.1285714285714288</v>
          </cell>
          <cell r="Q18">
            <v>0.4107142857142857</v>
          </cell>
          <cell r="R18">
            <v>0</v>
          </cell>
          <cell r="S18">
            <v>1</v>
          </cell>
        </row>
        <row r="19">
          <cell r="B19" t="str">
            <v>Styrene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1</v>
          </cell>
        </row>
        <row r="20">
          <cell r="B20" t="str">
            <v>FA</v>
          </cell>
          <cell r="O20">
            <v>144.91941176470587</v>
          </cell>
          <cell r="P20">
            <v>0</v>
          </cell>
          <cell r="Q20">
            <v>0</v>
          </cell>
          <cell r="R20">
            <v>0</v>
          </cell>
          <cell r="S20">
            <v>1</v>
          </cell>
        </row>
        <row r="23">
          <cell r="O23">
            <v>1.9122807017543861E-2</v>
          </cell>
        </row>
        <row r="24">
          <cell r="O24">
            <v>9.0671316477768091E-2</v>
          </cell>
        </row>
        <row r="25">
          <cell r="O25">
            <v>4.8965517241379309E-3</v>
          </cell>
        </row>
        <row r="26">
          <cell r="O26">
            <v>2.0943396226415092</v>
          </cell>
        </row>
        <row r="27">
          <cell r="O27">
            <v>5.0634920634920633</v>
          </cell>
        </row>
        <row r="28">
          <cell r="O28">
            <v>1.0545454545454545E-3</v>
          </cell>
        </row>
        <row r="29">
          <cell r="O29">
            <v>2.3941176470588239</v>
          </cell>
        </row>
        <row r="30">
          <cell r="O30">
            <v>0</v>
          </cell>
        </row>
        <row r="31">
          <cell r="O31">
            <v>0</v>
          </cell>
        </row>
        <row r="32">
          <cell r="O32">
            <v>7.0731707317073178E-2</v>
          </cell>
        </row>
        <row r="33">
          <cell r="O33">
            <v>12.083333333333332</v>
          </cell>
        </row>
        <row r="34">
          <cell r="O34">
            <v>0.98421052631578942</v>
          </cell>
        </row>
        <row r="35">
          <cell r="O35">
            <v>0.20153846153846156</v>
          </cell>
        </row>
        <row r="36">
          <cell r="O36">
            <v>0.44650000000000001</v>
          </cell>
        </row>
        <row r="37">
          <cell r="O37">
            <v>0.75</v>
          </cell>
        </row>
        <row r="38">
          <cell r="O38">
            <v>7.9821428571428571E-2</v>
          </cell>
        </row>
        <row r="39">
          <cell r="O39">
            <v>0</v>
          </cell>
        </row>
        <row r="40">
          <cell r="O40">
            <v>14.491941176470588</v>
          </cell>
        </row>
        <row r="43">
          <cell r="O43">
            <v>9.5614035087719304E-3</v>
          </cell>
        </row>
        <row r="44">
          <cell r="O44">
            <v>4.5335658238884045E-2</v>
          </cell>
        </row>
        <row r="45">
          <cell r="O45">
            <v>2.4482758620689654E-3</v>
          </cell>
        </row>
        <row r="46">
          <cell r="O46">
            <v>1.0471698113207546</v>
          </cell>
        </row>
        <row r="47">
          <cell r="O47">
            <v>2.5317460317460316</v>
          </cell>
        </row>
        <row r="48">
          <cell r="O48">
            <v>5.2727272727272725E-4</v>
          </cell>
        </row>
        <row r="49">
          <cell r="O49">
            <v>1.197058823529412</v>
          </cell>
        </row>
        <row r="50">
          <cell r="O50">
            <v>0</v>
          </cell>
        </row>
        <row r="51">
          <cell r="O51">
            <v>0</v>
          </cell>
        </row>
        <row r="52">
          <cell r="O52">
            <v>3.5365853658536589E-2</v>
          </cell>
        </row>
        <row r="53">
          <cell r="O53">
            <v>6.0416666666666661</v>
          </cell>
        </row>
        <row r="54">
          <cell r="O54">
            <v>0.49210526315789471</v>
          </cell>
        </row>
        <row r="55">
          <cell r="O55">
            <v>0.10076923076923078</v>
          </cell>
        </row>
        <row r="56">
          <cell r="O56">
            <v>0.22325</v>
          </cell>
        </row>
        <row r="57">
          <cell r="O57">
            <v>0.375</v>
          </cell>
        </row>
        <row r="58">
          <cell r="O58">
            <v>3.9910714285714285E-2</v>
          </cell>
        </row>
        <row r="59">
          <cell r="O59">
            <v>0</v>
          </cell>
        </row>
        <row r="60">
          <cell r="O60">
            <v>7.2459705882352941</v>
          </cell>
        </row>
        <row r="63">
          <cell r="O63">
            <v>3.8245614035087717E-3</v>
          </cell>
        </row>
        <row r="64">
          <cell r="O64">
            <v>1.8134263295553617E-2</v>
          </cell>
        </row>
        <row r="65">
          <cell r="O65">
            <v>9.7931034482758614E-4</v>
          </cell>
        </row>
        <row r="66">
          <cell r="O66">
            <v>0.41886792452830185</v>
          </cell>
        </row>
        <row r="67">
          <cell r="O67">
            <v>1.0126984126984127</v>
          </cell>
        </row>
        <row r="68">
          <cell r="O68">
            <v>2.1090909090909089E-4</v>
          </cell>
        </row>
        <row r="69">
          <cell r="O69">
            <v>0.47882352941176476</v>
          </cell>
        </row>
        <row r="70">
          <cell r="O70">
            <v>0</v>
          </cell>
        </row>
        <row r="71">
          <cell r="O71">
            <v>0</v>
          </cell>
        </row>
        <row r="72">
          <cell r="O72">
            <v>1.4146341463414635E-2</v>
          </cell>
        </row>
        <row r="73">
          <cell r="O73">
            <v>2.4166666666666665</v>
          </cell>
        </row>
        <row r="74">
          <cell r="O74">
            <v>0.1968421052631579</v>
          </cell>
        </row>
        <row r="75">
          <cell r="O75">
            <v>4.0307692307692308E-2</v>
          </cell>
        </row>
        <row r="76">
          <cell r="O76">
            <v>8.9300000000000004E-2</v>
          </cell>
        </row>
        <row r="77">
          <cell r="O77">
            <v>0.15</v>
          </cell>
        </row>
        <row r="78">
          <cell r="O78">
            <v>1.5964285714285716E-2</v>
          </cell>
        </row>
        <row r="79">
          <cell r="O79">
            <v>0</v>
          </cell>
        </row>
        <row r="80">
          <cell r="O80">
            <v>2.8983882352941177</v>
          </cell>
        </row>
        <row r="83">
          <cell r="O83">
            <v>3.1871345029239767E-3</v>
          </cell>
        </row>
        <row r="84">
          <cell r="O84">
            <v>1.5111886079628016E-2</v>
          </cell>
        </row>
        <row r="85">
          <cell r="O85">
            <v>8.1609195402298856E-4</v>
          </cell>
        </row>
        <row r="86">
          <cell r="O86">
            <v>0.34905660377358488</v>
          </cell>
        </row>
        <row r="87">
          <cell r="O87">
            <v>0.84391534391534395</v>
          </cell>
        </row>
        <row r="88">
          <cell r="O88">
            <v>1.7575757575757575E-4</v>
          </cell>
        </row>
        <row r="89">
          <cell r="O89">
            <v>0.39901960784313723</v>
          </cell>
        </row>
        <row r="90">
          <cell r="O90">
            <v>0</v>
          </cell>
        </row>
        <row r="91">
          <cell r="O91">
            <v>0</v>
          </cell>
        </row>
        <row r="92">
          <cell r="O92">
            <v>1.1788617886178862E-2</v>
          </cell>
        </row>
        <row r="93">
          <cell r="O93">
            <v>2.0138888888888888</v>
          </cell>
        </row>
        <row r="94">
          <cell r="O94">
            <v>0.16403508771929826</v>
          </cell>
        </row>
        <row r="95">
          <cell r="O95">
            <v>3.3589743589743586E-2</v>
          </cell>
        </row>
        <row r="96">
          <cell r="O96">
            <v>7.4416666666666659E-2</v>
          </cell>
        </row>
        <row r="97">
          <cell r="O97">
            <v>0.125</v>
          </cell>
        </row>
        <row r="98">
          <cell r="O98">
            <v>1.3303571428571428E-2</v>
          </cell>
        </row>
        <row r="99">
          <cell r="O99">
            <v>0</v>
          </cell>
        </row>
        <row r="100">
          <cell r="O100">
            <v>2.4153235294117645</v>
          </cell>
        </row>
        <row r="103">
          <cell r="O103">
            <v>2.731829573934837E-3</v>
          </cell>
        </row>
        <row r="104">
          <cell r="O104">
            <v>1.2953045211109727E-2</v>
          </cell>
        </row>
        <row r="105">
          <cell r="O105">
            <v>6.9950738916256159E-4</v>
          </cell>
        </row>
        <row r="106">
          <cell r="O106">
            <v>0.29919137466307272</v>
          </cell>
        </row>
        <row r="107">
          <cell r="O107">
            <v>0.72335600907029474</v>
          </cell>
        </row>
        <row r="108">
          <cell r="O108">
            <v>1.5064935064935063E-4</v>
          </cell>
        </row>
        <row r="109">
          <cell r="O109">
            <v>0.34201680672268908</v>
          </cell>
        </row>
        <row r="110">
          <cell r="O110">
            <v>0</v>
          </cell>
        </row>
        <row r="111">
          <cell r="O111">
            <v>0</v>
          </cell>
        </row>
        <row r="112">
          <cell r="O112">
            <v>1.0104529616724738E-2</v>
          </cell>
        </row>
        <row r="113">
          <cell r="O113">
            <v>1.7261904761904763</v>
          </cell>
        </row>
        <row r="114">
          <cell r="O114">
            <v>0.14060150375939851</v>
          </cell>
        </row>
        <row r="115">
          <cell r="O115">
            <v>2.8791208791208792E-2</v>
          </cell>
        </row>
        <row r="116">
          <cell r="O116">
            <v>6.3785714285714279E-2</v>
          </cell>
        </row>
        <row r="117">
          <cell r="O117">
            <v>0.10714285714285714</v>
          </cell>
        </row>
        <row r="118">
          <cell r="O118">
            <v>1.1403061224489796E-2</v>
          </cell>
        </row>
        <row r="119">
          <cell r="O119">
            <v>0</v>
          </cell>
        </row>
        <row r="120">
          <cell r="O120">
            <v>2.0702773109243697</v>
          </cell>
        </row>
        <row r="123">
          <cell r="O123">
            <v>2.3903508771929826E-3</v>
          </cell>
        </row>
        <row r="124">
          <cell r="O124">
            <v>1.1333914559721011E-2</v>
          </cell>
        </row>
        <row r="125">
          <cell r="O125">
            <v>6.1206896551724136E-4</v>
          </cell>
        </row>
        <row r="126">
          <cell r="O126">
            <v>0.26179245283018865</v>
          </cell>
        </row>
        <row r="127">
          <cell r="O127">
            <v>0.63293650793650791</v>
          </cell>
        </row>
        <row r="128">
          <cell r="O128">
            <v>1.3181818181818181E-4</v>
          </cell>
        </row>
        <row r="129">
          <cell r="O129">
            <v>0.29926470588235299</v>
          </cell>
        </row>
        <row r="130">
          <cell r="O130">
            <v>0</v>
          </cell>
        </row>
        <row r="131">
          <cell r="O131">
            <v>0</v>
          </cell>
        </row>
        <row r="132">
          <cell r="O132">
            <v>8.8414634146341473E-3</v>
          </cell>
        </row>
        <row r="133">
          <cell r="O133">
            <v>1.5104166666666665</v>
          </cell>
        </row>
        <row r="134">
          <cell r="O134">
            <v>0.12302631578947368</v>
          </cell>
        </row>
        <row r="135">
          <cell r="O135">
            <v>2.5192307692307694E-2</v>
          </cell>
        </row>
        <row r="136">
          <cell r="O136">
            <v>5.5812500000000001E-2</v>
          </cell>
        </row>
        <row r="137">
          <cell r="O137">
            <v>9.375E-2</v>
          </cell>
        </row>
        <row r="138">
          <cell r="O138">
            <v>9.9776785714285714E-3</v>
          </cell>
        </row>
        <row r="139">
          <cell r="O139">
            <v>0</v>
          </cell>
        </row>
        <row r="140">
          <cell r="O140">
            <v>1.8114926470588235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eachig results"/>
      <sheetName val="ERA_8010"/>
      <sheetName val="ERA_8010 (2)"/>
      <sheetName val="ERA_8012"/>
      <sheetName val="ERA_8012 (2)"/>
      <sheetName val="ERA_8020"/>
      <sheetName val="ERA_8020 (2)"/>
      <sheetName val="ERA_8040"/>
      <sheetName val="ERA_8040(2)"/>
      <sheetName val="PNEC"/>
      <sheetName val="LS ratio"/>
    </sheetNames>
    <sheetDataSet>
      <sheetData sheetId="0"/>
      <sheetData sheetId="1"/>
      <sheetData sheetId="2">
        <row r="11">
          <cell r="O11">
            <v>61.388888888888886</v>
          </cell>
          <cell r="S11">
            <v>1</v>
          </cell>
        </row>
        <row r="17">
          <cell r="S17">
            <v>1</v>
          </cell>
        </row>
        <row r="28">
          <cell r="O28">
            <v>6.1388888888888893</v>
          </cell>
        </row>
        <row r="34">
          <cell r="O34">
            <v>2.8464285714285715</v>
          </cell>
        </row>
        <row r="45">
          <cell r="O45">
            <v>3.0694444444444446</v>
          </cell>
        </row>
        <row r="51">
          <cell r="O51">
            <v>1.4232142857142858</v>
          </cell>
        </row>
        <row r="62">
          <cell r="O62">
            <v>1.2277777777777776</v>
          </cell>
        </row>
        <row r="68">
          <cell r="O68">
            <v>0.56928571428571428</v>
          </cell>
        </row>
        <row r="79">
          <cell r="O79">
            <v>1.0231481481481481</v>
          </cell>
        </row>
        <row r="85">
          <cell r="O85">
            <v>0.47440476190476188</v>
          </cell>
        </row>
        <row r="96">
          <cell r="O96">
            <v>0.87698412698412698</v>
          </cell>
        </row>
        <row r="102">
          <cell r="O102">
            <v>0.40663265306122448</v>
          </cell>
        </row>
        <row r="113">
          <cell r="E113" t="str">
            <v>Zn</v>
          </cell>
          <cell r="O113">
            <v>0.76736111111111116</v>
          </cell>
        </row>
        <row r="119">
          <cell r="E119" t="str">
            <v>Styrene</v>
          </cell>
          <cell r="O119">
            <v>0.35580357142857144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8010_realcase (2)"/>
      <sheetName val="Chart1"/>
      <sheetName val="det_comparison_lab"/>
      <sheetName val="N8010_leaching"/>
      <sheetName val="N8010_realcase"/>
      <sheetName val="Sheet1"/>
      <sheetName val="N8012_leaching"/>
      <sheetName val="N8012_realcase"/>
      <sheetName val="N8020_leaching"/>
      <sheetName val="N8020_realcase"/>
      <sheetName val="N8040_leaching"/>
      <sheetName val="N8040_realcase"/>
    </sheetNames>
    <sheetDataSet>
      <sheetData sheetId="0"/>
      <sheetData sheetId="2"/>
      <sheetData sheetId="3">
        <row r="3">
          <cell r="O3">
            <v>0</v>
          </cell>
          <cell r="P3">
            <v>0</v>
          </cell>
          <cell r="Q3">
            <v>0</v>
          </cell>
          <cell r="R3">
            <v>0.11929824561403507</v>
          </cell>
          <cell r="S3">
            <v>1</v>
          </cell>
        </row>
        <row r="4">
          <cell r="O4">
            <v>0.15170008718395814</v>
          </cell>
          <cell r="P4">
            <v>5.9459459459459463E-2</v>
          </cell>
          <cell r="Q4">
            <v>1.7698343504795117E-2</v>
          </cell>
          <cell r="R4">
            <v>7.0531822144725365E-2</v>
          </cell>
          <cell r="S4">
            <v>1</v>
          </cell>
        </row>
        <row r="5">
          <cell r="O5">
            <v>4.9310344827586207E-2</v>
          </cell>
          <cell r="P5">
            <v>2.6206896551724139E-2</v>
          </cell>
          <cell r="Q5">
            <v>9.655172413793104E-3</v>
          </cell>
          <cell r="R5">
            <v>1.2068965517241379E-2</v>
          </cell>
          <cell r="S5">
            <v>1</v>
          </cell>
        </row>
        <row r="6">
          <cell r="O6">
            <v>2.4905660377358489</v>
          </cell>
          <cell r="P6">
            <v>1.7075471698113207</v>
          </cell>
          <cell r="Q6">
            <v>0.68867924528301883</v>
          </cell>
          <cell r="R6">
            <v>0</v>
          </cell>
          <cell r="S6">
            <v>1</v>
          </cell>
        </row>
        <row r="7">
          <cell r="O7">
            <v>10.333333333333332</v>
          </cell>
          <cell r="P7">
            <v>6.7301587301587302</v>
          </cell>
          <cell r="Q7">
            <v>3.3015873015873018</v>
          </cell>
          <cell r="R7">
            <v>2.4285714285714288</v>
          </cell>
          <cell r="S7">
            <v>1</v>
          </cell>
        </row>
        <row r="8"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1</v>
          </cell>
        </row>
        <row r="9">
          <cell r="O9">
            <v>10.970588235294118</v>
          </cell>
          <cell r="P9">
            <v>9.5</v>
          </cell>
          <cell r="Q9">
            <v>3.1470588235294117</v>
          </cell>
          <cell r="R9">
            <v>1.5176470588235293</v>
          </cell>
          <cell r="S9">
            <v>1</v>
          </cell>
        </row>
        <row r="10"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1</v>
          </cell>
        </row>
        <row r="11"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</v>
          </cell>
        </row>
        <row r="12">
          <cell r="O12">
            <v>0.58536585365853666</v>
          </cell>
          <cell r="P12">
            <v>0.41463414634146345</v>
          </cell>
          <cell r="Q12">
            <v>0</v>
          </cell>
          <cell r="R12">
            <v>0</v>
          </cell>
          <cell r="S12">
            <v>1</v>
          </cell>
        </row>
        <row r="13">
          <cell r="O13">
            <v>61.388888888888886</v>
          </cell>
          <cell r="P13">
            <v>48.541666666666664</v>
          </cell>
          <cell r="Q13">
            <v>23.888888888888889</v>
          </cell>
          <cell r="R13">
            <v>18.333333333333332</v>
          </cell>
          <cell r="S13">
            <v>1</v>
          </cell>
        </row>
        <row r="14">
          <cell r="O14">
            <v>0.42105263157894735</v>
          </cell>
          <cell r="P14">
            <v>0.24736842105263157</v>
          </cell>
          <cell r="Q14">
            <v>0</v>
          </cell>
          <cell r="R14">
            <v>0</v>
          </cell>
          <cell r="S14">
            <v>1</v>
          </cell>
        </row>
        <row r="15">
          <cell r="O15">
            <v>0.16307692307692309</v>
          </cell>
          <cell r="P15">
            <v>0</v>
          </cell>
          <cell r="Q15">
            <v>0</v>
          </cell>
          <cell r="R15">
            <v>0</v>
          </cell>
          <cell r="S15">
            <v>1</v>
          </cell>
        </row>
        <row r="16">
          <cell r="O16">
            <v>1.3900000000000001</v>
          </cell>
          <cell r="P16">
            <v>0.95500000000000007</v>
          </cell>
          <cell r="Q16">
            <v>0.32799999999999996</v>
          </cell>
          <cell r="R16">
            <v>1.01</v>
          </cell>
          <cell r="S16">
            <v>1</v>
          </cell>
        </row>
        <row r="17">
          <cell r="O17">
            <v>0.64166666666666672</v>
          </cell>
          <cell r="P17">
            <v>0</v>
          </cell>
          <cell r="Q17">
            <v>0</v>
          </cell>
          <cell r="R17">
            <v>0</v>
          </cell>
          <cell r="S17">
            <v>1</v>
          </cell>
        </row>
        <row r="18">
          <cell r="O18">
            <v>0.45535714285714285</v>
          </cell>
          <cell r="P18">
            <v>0.27142857142857146</v>
          </cell>
          <cell r="Q18">
            <v>0</v>
          </cell>
          <cell r="R18">
            <v>0</v>
          </cell>
          <cell r="S18">
            <v>1</v>
          </cell>
        </row>
        <row r="19">
          <cell r="O19">
            <v>28.464285714285715</v>
          </cell>
          <cell r="P19">
            <v>0</v>
          </cell>
          <cell r="Q19">
            <v>0</v>
          </cell>
          <cell r="R19">
            <v>0</v>
          </cell>
          <cell r="S19">
            <v>1</v>
          </cell>
        </row>
        <row r="20"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1</v>
          </cell>
        </row>
      </sheetData>
      <sheetData sheetId="4"/>
      <sheetData sheetId="5"/>
      <sheetData sheetId="6">
        <row r="3">
          <cell r="O3">
            <v>0</v>
          </cell>
          <cell r="P3">
            <v>0</v>
          </cell>
          <cell r="Q3">
            <v>0</v>
          </cell>
          <cell r="R3">
            <v>0.46666666666666662</v>
          </cell>
          <cell r="S3">
            <v>1</v>
          </cell>
        </row>
        <row r="4">
          <cell r="O4">
            <v>0.14908456843940715</v>
          </cell>
          <cell r="P4">
            <v>0.15518744551002617</v>
          </cell>
          <cell r="Q4">
            <v>5.2659110723626855E-2</v>
          </cell>
          <cell r="R4">
            <v>3.5396687009590234E-2</v>
          </cell>
          <cell r="S4">
            <v>1</v>
          </cell>
        </row>
        <row r="5">
          <cell r="O5">
            <v>2.0344827586206895E-2</v>
          </cell>
          <cell r="P5">
            <v>2.2758620689655173E-2</v>
          </cell>
          <cell r="Q5">
            <v>1.1379310344827587E-2</v>
          </cell>
          <cell r="R5">
            <v>0</v>
          </cell>
          <cell r="S5">
            <v>1</v>
          </cell>
        </row>
        <row r="6">
          <cell r="O6">
            <v>2.3584905660377355</v>
          </cell>
          <cell r="P6">
            <v>3.0188679245283021</v>
          </cell>
          <cell r="Q6">
            <v>0.64150943396226412</v>
          </cell>
          <cell r="R6">
            <v>0</v>
          </cell>
          <cell r="S6">
            <v>1</v>
          </cell>
        </row>
        <row r="7">
          <cell r="O7">
            <v>8.9841269841269842</v>
          </cell>
          <cell r="P7">
            <v>4.4285714285714288</v>
          </cell>
          <cell r="Q7">
            <v>5.7460317460317469</v>
          </cell>
          <cell r="R7">
            <v>1.6984126984126984</v>
          </cell>
          <cell r="S7">
            <v>1</v>
          </cell>
        </row>
        <row r="8">
          <cell r="O8">
            <v>1.5757575757575758E-3</v>
          </cell>
          <cell r="P8">
            <v>0</v>
          </cell>
          <cell r="Q8">
            <v>0</v>
          </cell>
          <cell r="R8">
            <v>0</v>
          </cell>
          <cell r="S8">
            <v>1</v>
          </cell>
        </row>
        <row r="9">
          <cell r="O9">
            <v>10.029411764705882</v>
          </cell>
          <cell r="P9">
            <v>12.147058823529411</v>
          </cell>
          <cell r="Q9">
            <v>3.4705882352941178</v>
          </cell>
          <cell r="R9">
            <v>1.6588235294117646</v>
          </cell>
          <cell r="S9">
            <v>1</v>
          </cell>
        </row>
        <row r="10"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1</v>
          </cell>
        </row>
        <row r="11">
          <cell r="O11">
            <v>1.7729729729729728</v>
          </cell>
          <cell r="P11">
            <v>2.8648648648648649</v>
          </cell>
          <cell r="Q11">
            <v>1.4405405405405405</v>
          </cell>
          <cell r="R11">
            <v>1.2729729729729731</v>
          </cell>
          <cell r="S11">
            <v>1</v>
          </cell>
        </row>
        <row r="12">
          <cell r="O12">
            <v>0.24390243902439027</v>
          </cell>
          <cell r="P12">
            <v>0</v>
          </cell>
          <cell r="Q12">
            <v>0</v>
          </cell>
          <cell r="R12">
            <v>0</v>
          </cell>
          <cell r="S12">
            <v>1</v>
          </cell>
        </row>
        <row r="13">
          <cell r="O13">
            <v>38.194444444444443</v>
          </cell>
          <cell r="P13">
            <v>53.680555555555557</v>
          </cell>
          <cell r="Q13">
            <v>20</v>
          </cell>
          <cell r="R13">
            <v>17.291666666666668</v>
          </cell>
          <cell r="S13">
            <v>1</v>
          </cell>
        </row>
        <row r="14">
          <cell r="O14">
            <v>0.49473684210526314</v>
          </cell>
          <cell r="P14">
            <v>0</v>
          </cell>
          <cell r="Q14">
            <v>0</v>
          </cell>
          <cell r="R14">
            <v>0</v>
          </cell>
          <cell r="S14">
            <v>1</v>
          </cell>
        </row>
        <row r="15">
          <cell r="O15">
            <v>6.5384615384615388E-2</v>
          </cell>
          <cell r="P15">
            <v>0</v>
          </cell>
          <cell r="Q15">
            <v>0</v>
          </cell>
          <cell r="R15">
            <v>0</v>
          </cell>
          <cell r="S15">
            <v>1</v>
          </cell>
        </row>
        <row r="16">
          <cell r="O16">
            <v>3.18</v>
          </cell>
          <cell r="P16">
            <v>2.9950000000000001</v>
          </cell>
          <cell r="Q16">
            <v>1.2849999999999999</v>
          </cell>
          <cell r="R16">
            <v>0.9</v>
          </cell>
          <cell r="S16">
            <v>1</v>
          </cell>
        </row>
        <row r="17"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1</v>
          </cell>
        </row>
        <row r="18">
          <cell r="O18">
            <v>0.40357142857142858</v>
          </cell>
          <cell r="P18">
            <v>0.36607142857142855</v>
          </cell>
          <cell r="Q18">
            <v>0</v>
          </cell>
          <cell r="R18">
            <v>0</v>
          </cell>
          <cell r="S18">
            <v>1</v>
          </cell>
        </row>
        <row r="19">
          <cell r="O19">
            <v>95.714285714285708</v>
          </cell>
          <cell r="P19">
            <v>0</v>
          </cell>
          <cell r="Q19">
            <v>0</v>
          </cell>
          <cell r="R19">
            <v>0</v>
          </cell>
          <cell r="S19">
            <v>1</v>
          </cell>
        </row>
        <row r="20"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1</v>
          </cell>
        </row>
      </sheetData>
      <sheetData sheetId="7"/>
      <sheetData sheetId="8">
        <row r="3"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1</v>
          </cell>
        </row>
        <row r="4">
          <cell r="O4">
            <v>3.4699215344376637E-2</v>
          </cell>
          <cell r="P4">
            <v>3.4873583260680033E-2</v>
          </cell>
          <cell r="Q4">
            <v>1.2205754141238012E-2</v>
          </cell>
          <cell r="R4">
            <v>3.9232781168265035E-2</v>
          </cell>
          <cell r="S4">
            <v>1</v>
          </cell>
        </row>
        <row r="5">
          <cell r="O5">
            <v>0.01</v>
          </cell>
          <cell r="P5">
            <v>1.2068965517241379E-2</v>
          </cell>
          <cell r="Q5">
            <v>0</v>
          </cell>
          <cell r="R5">
            <v>0</v>
          </cell>
          <cell r="S5">
            <v>1</v>
          </cell>
        </row>
        <row r="6">
          <cell r="O6">
            <v>2.283018867924528</v>
          </cell>
          <cell r="P6">
            <v>2.9905660377358489</v>
          </cell>
          <cell r="Q6">
            <v>1</v>
          </cell>
          <cell r="R6">
            <v>0</v>
          </cell>
          <cell r="S6">
            <v>1</v>
          </cell>
        </row>
        <row r="7">
          <cell r="O7">
            <v>6.1904761904761907</v>
          </cell>
          <cell r="P7">
            <v>2.7301587301587302</v>
          </cell>
          <cell r="Q7">
            <v>4.3015873015873023</v>
          </cell>
          <cell r="R7">
            <v>3.4285714285714288</v>
          </cell>
          <cell r="S7">
            <v>1</v>
          </cell>
        </row>
        <row r="8">
          <cell r="O8">
            <v>1.2121212121212121E-3</v>
          </cell>
          <cell r="P8">
            <v>1.8787878787878789E-3</v>
          </cell>
          <cell r="Q8">
            <v>0</v>
          </cell>
          <cell r="R8">
            <v>0</v>
          </cell>
          <cell r="S8">
            <v>1</v>
          </cell>
        </row>
        <row r="9">
          <cell r="O9">
            <v>2.611764705882353</v>
          </cell>
          <cell r="P9">
            <v>3.8823529411764706</v>
          </cell>
          <cell r="Q9">
            <v>1.5029411764705882</v>
          </cell>
          <cell r="R9">
            <v>0.70294117647058818</v>
          </cell>
          <cell r="S9">
            <v>1</v>
          </cell>
        </row>
        <row r="10">
          <cell r="O10">
            <v>2.0168067226890757E-4</v>
          </cell>
          <cell r="P10">
            <v>4.2016806722689078E-4</v>
          </cell>
          <cell r="Q10">
            <v>1.7647058823529413E-4</v>
          </cell>
          <cell r="R10">
            <v>0</v>
          </cell>
          <cell r="S10">
            <v>1</v>
          </cell>
        </row>
        <row r="11">
          <cell r="O11">
            <v>4.2972972972972974</v>
          </cell>
          <cell r="P11">
            <v>9.8918918918918912</v>
          </cell>
          <cell r="Q11">
            <v>2.8648648648648649</v>
          </cell>
          <cell r="R11">
            <v>1.6594594594594594</v>
          </cell>
          <cell r="S11">
            <v>1</v>
          </cell>
        </row>
        <row r="12">
          <cell r="O12">
            <v>0.70731707317073178</v>
          </cell>
          <cell r="P12">
            <v>1.2926829268292683</v>
          </cell>
          <cell r="Q12">
            <v>0.58536585365853666</v>
          </cell>
          <cell r="R12">
            <v>0.36585365853658541</v>
          </cell>
          <cell r="S12">
            <v>1</v>
          </cell>
        </row>
        <row r="13">
          <cell r="O13">
            <v>25.347222222222221</v>
          </cell>
          <cell r="P13">
            <v>42.569444444444443</v>
          </cell>
          <cell r="Q13">
            <v>23.680555555555554</v>
          </cell>
          <cell r="R13">
            <v>16.805555555555554</v>
          </cell>
          <cell r="S13">
            <v>1</v>
          </cell>
        </row>
        <row r="14">
          <cell r="O14">
            <v>0.29473684210526319</v>
          </cell>
          <cell r="P14">
            <v>0</v>
          </cell>
          <cell r="Q14">
            <v>0</v>
          </cell>
          <cell r="R14">
            <v>0</v>
          </cell>
          <cell r="S14">
            <v>1</v>
          </cell>
        </row>
        <row r="15">
          <cell r="O15">
            <v>0.12523076923076923</v>
          </cell>
          <cell r="P15">
            <v>0.16153846153846155</v>
          </cell>
          <cell r="Q15">
            <v>0</v>
          </cell>
          <cell r="R15">
            <v>0</v>
          </cell>
          <cell r="S15">
            <v>1</v>
          </cell>
        </row>
        <row r="16">
          <cell r="O16">
            <v>2.145</v>
          </cell>
          <cell r="P16">
            <v>1.61</v>
          </cell>
          <cell r="Q16">
            <v>0.59000000000000008</v>
          </cell>
          <cell r="R16">
            <v>0.33050000000000002</v>
          </cell>
          <cell r="S16">
            <v>1</v>
          </cell>
        </row>
        <row r="17"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1</v>
          </cell>
        </row>
        <row r="18">
          <cell r="O18">
            <v>0.65535714285714286</v>
          </cell>
          <cell r="P18">
            <v>0.9553571428571429</v>
          </cell>
          <cell r="Q18">
            <v>0.28035714285714286</v>
          </cell>
          <cell r="R18">
            <v>0</v>
          </cell>
          <cell r="S18">
            <v>1</v>
          </cell>
        </row>
        <row r="19">
          <cell r="O19">
            <v>107.85714285714286</v>
          </cell>
          <cell r="P19">
            <v>0</v>
          </cell>
          <cell r="Q19">
            <v>0</v>
          </cell>
          <cell r="R19">
            <v>0</v>
          </cell>
          <cell r="S19">
            <v>1</v>
          </cell>
        </row>
        <row r="20"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1</v>
          </cell>
        </row>
      </sheetData>
      <sheetData sheetId="9"/>
      <sheetData sheetId="10">
        <row r="3">
          <cell r="O3">
            <v>0.19122807017543858</v>
          </cell>
          <cell r="P3">
            <v>0.19122807017543858</v>
          </cell>
          <cell r="Q3">
            <v>0.10701754385964912</v>
          </cell>
          <cell r="R3">
            <v>0</v>
          </cell>
          <cell r="S3">
            <v>1</v>
          </cell>
        </row>
        <row r="4">
          <cell r="O4">
            <v>0.90671316477768094</v>
          </cell>
          <cell r="P4">
            <v>1.0113339145597209</v>
          </cell>
          <cell r="Q4">
            <v>0.1089799476896251</v>
          </cell>
          <cell r="R4">
            <v>1.830863121185702E-2</v>
          </cell>
          <cell r="S4">
            <v>1</v>
          </cell>
        </row>
        <row r="5">
          <cell r="O5">
            <v>4.8965517241379312E-2</v>
          </cell>
          <cell r="P5">
            <v>8.6896551724137933E-2</v>
          </cell>
          <cell r="Q5">
            <v>4.7931034482758622E-2</v>
          </cell>
          <cell r="R5">
            <v>2.0689655172413793E-2</v>
          </cell>
          <cell r="S5">
            <v>1</v>
          </cell>
        </row>
        <row r="6">
          <cell r="O6">
            <v>20.943396226415093</v>
          </cell>
          <cell r="P6">
            <v>18.39622641509434</v>
          </cell>
          <cell r="Q6">
            <v>3.4811320754716979</v>
          </cell>
          <cell r="R6">
            <v>0</v>
          </cell>
          <cell r="S6">
            <v>1</v>
          </cell>
        </row>
        <row r="7">
          <cell r="O7">
            <v>50.63492063492064</v>
          </cell>
          <cell r="P7">
            <v>23.015873015873016</v>
          </cell>
          <cell r="Q7">
            <v>3.4920634920634921</v>
          </cell>
          <cell r="R7">
            <v>0</v>
          </cell>
          <cell r="S7">
            <v>1</v>
          </cell>
        </row>
        <row r="8">
          <cell r="O8">
            <v>1.0545454545454545E-2</v>
          </cell>
          <cell r="P8">
            <v>1.7030303030303031E-2</v>
          </cell>
          <cell r="Q8">
            <v>7.2121212121212122E-3</v>
          </cell>
          <cell r="R8">
            <v>0</v>
          </cell>
          <cell r="S8">
            <v>1</v>
          </cell>
        </row>
        <row r="9">
          <cell r="O9">
            <v>23.941176470588236</v>
          </cell>
          <cell r="P9">
            <v>29.411764705882351</v>
          </cell>
          <cell r="Q9">
            <v>8.3529411764705888</v>
          </cell>
          <cell r="R9">
            <v>1.8499999999999999</v>
          </cell>
          <cell r="S9">
            <v>1</v>
          </cell>
        </row>
        <row r="10"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1</v>
          </cell>
        </row>
        <row r="11"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</v>
          </cell>
        </row>
        <row r="12">
          <cell r="O12">
            <v>0.70731707317073178</v>
          </cell>
          <cell r="P12">
            <v>0.87804878048780499</v>
          </cell>
          <cell r="Q12">
            <v>0.26829268292682934</v>
          </cell>
          <cell r="R12">
            <v>0</v>
          </cell>
          <cell r="S12">
            <v>1</v>
          </cell>
        </row>
        <row r="13">
          <cell r="O13">
            <v>120.83333333333333</v>
          </cell>
          <cell r="P13">
            <v>134.02777777777777</v>
          </cell>
          <cell r="Q13">
            <v>44.375</v>
          </cell>
          <cell r="R13">
            <v>8.8194444444444446</v>
          </cell>
          <cell r="S13">
            <v>1</v>
          </cell>
        </row>
        <row r="14">
          <cell r="O14">
            <v>9.8421052631578956</v>
          </cell>
          <cell r="P14">
            <v>10.578947368421051</v>
          </cell>
          <cell r="Q14">
            <v>0</v>
          </cell>
          <cell r="R14">
            <v>0</v>
          </cell>
          <cell r="S14">
            <v>1</v>
          </cell>
        </row>
        <row r="15">
          <cell r="O15">
            <v>2.0153846153846153</v>
          </cell>
          <cell r="P15">
            <v>2.8</v>
          </cell>
          <cell r="Q15">
            <v>0.84769230769230763</v>
          </cell>
          <cell r="R15">
            <v>0.1553846153846154</v>
          </cell>
          <cell r="S15">
            <v>1</v>
          </cell>
        </row>
        <row r="16">
          <cell r="O16">
            <v>4.4649999999999999</v>
          </cell>
          <cell r="P16">
            <v>4.41</v>
          </cell>
          <cell r="Q16">
            <v>3.4950000000000001</v>
          </cell>
          <cell r="R16">
            <v>0.745</v>
          </cell>
          <cell r="S16">
            <v>1</v>
          </cell>
        </row>
        <row r="17">
          <cell r="O17">
            <v>7.5</v>
          </cell>
          <cell r="P17">
            <v>13.875</v>
          </cell>
          <cell r="Q17">
            <v>0.42083333333333334</v>
          </cell>
          <cell r="R17">
            <v>0</v>
          </cell>
          <cell r="S17">
            <v>1</v>
          </cell>
        </row>
        <row r="18">
          <cell r="O18">
            <v>0.79821428571428577</v>
          </cell>
          <cell r="P18">
            <v>1.1285714285714288</v>
          </cell>
          <cell r="Q18">
            <v>0.4107142857142857</v>
          </cell>
          <cell r="R18">
            <v>0</v>
          </cell>
          <cell r="S18">
            <v>1</v>
          </cell>
        </row>
        <row r="19"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1</v>
          </cell>
        </row>
        <row r="20">
          <cell r="O20">
            <v>144.91941176470587</v>
          </cell>
          <cell r="P20">
            <v>0</v>
          </cell>
          <cell r="Q20">
            <v>0</v>
          </cell>
          <cell r="R20">
            <v>0</v>
          </cell>
          <cell r="S20">
            <v>1</v>
          </cell>
        </row>
      </sheetData>
      <sheetData sheetId="1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Microsoft Office User" id="{E852B2F5-FC3A-4C3F-824F-6C6F428AD4A1}" userId="Microsoft Office User" providerId="None"/>
  <person displayName="Arianna Nativio" id="{18838036-6754-49A5-83C0-53DEB0600053}" userId="S::anativio@tudelft.nl::b49c46fe-318f-461d-aeb0-ae2cc9304c93" providerId="AD"/>
</personList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O1" dT="2023-03-21T17:26:27.32" personId="{E852B2F5-FC3A-4C3F-824F-6C6F428AD4A1}" id="{48626106-4931-42AF-8758-47B089CC06C6}">
    <text>max value between off 1 and off 2 is chosen</text>
  </threadedComment>
  <threadedComment ref="N4" dT="2023-03-15T09:58:59.82" personId="{18838036-6754-49A5-83C0-53DEB0600053}" id="{D37B33D2-7474-4E51-B663-862A009E22C0}">
    <text>Freshwater</text>
  </threadedComment>
  <threadedComment ref="N5" dT="2023-03-15T11:11:12.25" personId="{18838036-6754-49A5-83C0-53DEB0600053}" id="{BCB6CB17-F1A2-4230-8A92-556A0CA5EAAD}">
    <text>13.7 mg/L  intermittent release</text>
  </threadedComment>
  <threadedComment ref="N19" dT="2023-03-22T07:42:43.89" personId="{E852B2F5-FC3A-4C3F-824F-6C6F428AD4A1}" id="{59EBCE6D-FF5E-474E-8F24-9BA697576559}">
    <text>NC = 0.40 ug/L
MPC = 40 ug/L
MAC = 400 ug/L
SRC = 600 ug/L</text>
  </threadedComment>
  <threadedComment ref="O21" dT="2023-03-21T17:26:27.32" personId="{E852B2F5-FC3A-4C3F-824F-6C6F428AD4A1}" id="{2643A6A9-3193-4962-A1C8-A96C82D661FF}">
    <text>max value between off 1 and off 2 is chosen</text>
  </threadedComment>
  <threadedComment ref="N24" dT="2023-03-15T09:58:59.82" personId="{18838036-6754-49A5-83C0-53DEB0600053}" id="{7148F916-C686-4E8D-9D66-B1B13D1605EB}">
    <text>Freshwater</text>
  </threadedComment>
  <threadedComment ref="N25" dT="2023-03-15T11:11:12.25" personId="{18838036-6754-49A5-83C0-53DEB0600053}" id="{ECC669F2-2A84-4C0B-A14A-4FC0756EC6D6}">
    <text>13.7 mg/L  intermittent release</text>
  </threadedComment>
  <threadedComment ref="N39" dT="2023-03-22T07:42:43.89" personId="{E852B2F5-FC3A-4C3F-824F-6C6F428AD4A1}" id="{B5B2AFD1-1632-4C92-8F5F-678026D55732}">
    <text>NC = 0.40 ug/L
MPC = 40 ug/L
MAC = 400 ug/L
SRC = 600 ug/L</text>
  </threadedComment>
  <threadedComment ref="O41" dT="2023-03-21T17:26:27.32" personId="{E852B2F5-FC3A-4C3F-824F-6C6F428AD4A1}" id="{0C1948A7-18ED-4E28-AB06-97369A0A5869}">
    <text>max value between off 1 and off 2 is chosen</text>
  </threadedComment>
  <threadedComment ref="N44" dT="2023-03-15T09:58:59.82" personId="{18838036-6754-49A5-83C0-53DEB0600053}" id="{A5629E79-8AD4-4F4C-B9FF-6C9565A0B4AE}">
    <text>Freshwater</text>
  </threadedComment>
  <threadedComment ref="N45" dT="2023-03-15T11:11:12.25" personId="{18838036-6754-49A5-83C0-53DEB0600053}" id="{75318153-9E3D-4A0D-85E6-3F9F7D5C1D79}">
    <text>13.7 mg/L  intermittent release</text>
  </threadedComment>
  <threadedComment ref="N59" dT="2023-03-22T07:42:43.89" personId="{E852B2F5-FC3A-4C3F-824F-6C6F428AD4A1}" id="{ABB4BCC3-0E8B-48AD-A107-E00C0224CA5E}">
    <text>NC = 0.40 ug/L
MPC = 40 ug/L
MAC = 400 ug/L
SRC = 600 ug/L</text>
  </threadedComment>
  <threadedComment ref="O61" dT="2023-03-21T17:26:27.32" personId="{E852B2F5-FC3A-4C3F-824F-6C6F428AD4A1}" id="{B47559BE-8886-4802-8ACA-EE36CE870B66}">
    <text>max value between off 1 and off 2 is chosen</text>
  </threadedComment>
  <threadedComment ref="N64" dT="2023-03-15T09:58:59.82" personId="{18838036-6754-49A5-83C0-53DEB0600053}" id="{1AED0482-5E2A-4C2A-858E-B95BB99892CB}">
    <text>Freshwater</text>
  </threadedComment>
  <threadedComment ref="N65" dT="2023-03-15T11:11:12.25" personId="{18838036-6754-49A5-83C0-53DEB0600053}" id="{CA949F3D-E4B1-40B9-998E-132DE3663139}">
    <text>13.7 mg/L  intermittent release</text>
  </threadedComment>
  <threadedComment ref="N79" dT="2023-03-22T07:42:43.89" personId="{E852B2F5-FC3A-4C3F-824F-6C6F428AD4A1}" id="{AA23B0A1-D09D-462E-90CB-B7E8C1A8EB94}">
    <text>NC = 0.40 ug/L
MPC = 40 ug/L
MAC = 400 ug/L
SRC = 600 ug/L</text>
  </threadedComment>
  <threadedComment ref="O81" dT="2023-03-21T17:26:27.32" personId="{E852B2F5-FC3A-4C3F-824F-6C6F428AD4A1}" id="{3BB0384F-3F96-43D7-AFBB-6665204C14FF}">
    <text>max value between off 1 and off 2 is chosen</text>
  </threadedComment>
  <threadedComment ref="N84" dT="2023-03-15T09:58:59.82" personId="{18838036-6754-49A5-83C0-53DEB0600053}" id="{55AAF4F6-ACE2-4D0E-B1F3-BF6EBB9FD8F1}">
    <text>Freshwater</text>
  </threadedComment>
  <threadedComment ref="N85" dT="2023-03-15T11:11:12.25" personId="{18838036-6754-49A5-83C0-53DEB0600053}" id="{A697694C-17CA-4B29-9438-8C7A40260B0F}">
    <text>13.7 mg/L  intermittent release</text>
  </threadedComment>
  <threadedComment ref="N99" dT="2023-03-22T07:42:43.89" personId="{E852B2F5-FC3A-4C3F-824F-6C6F428AD4A1}" id="{08EF980B-BB9F-47F9-9ACA-7641C5AC86D7}">
    <text>NC = 0.40 ug/L
MPC = 40 ug/L
MAC = 400 ug/L
SRC = 600 ug/L</text>
  </threadedComment>
  <threadedComment ref="O101" dT="2023-03-21T17:26:27.32" personId="{E852B2F5-FC3A-4C3F-824F-6C6F428AD4A1}" id="{B4A167F2-D206-4B0B-B3FD-9E8029A66ABD}">
    <text>max value between off 1 and off 2 is chosen</text>
  </threadedComment>
  <threadedComment ref="N104" dT="2023-03-15T09:58:59.82" personId="{18838036-6754-49A5-83C0-53DEB0600053}" id="{3A1D1FB3-C659-4B8B-B0E6-3ED7CF7CBB5E}">
    <text>Freshwater</text>
  </threadedComment>
  <threadedComment ref="N105" dT="2023-03-15T11:11:12.25" personId="{18838036-6754-49A5-83C0-53DEB0600053}" id="{126716BD-72DA-4D09-92A7-F9061DADE91C}">
    <text>13.7 mg/L  intermittent release</text>
  </threadedComment>
  <threadedComment ref="N119" dT="2023-03-22T07:42:43.89" personId="{E852B2F5-FC3A-4C3F-824F-6C6F428AD4A1}" id="{F2265B75-A59F-4B95-87BE-6633A477CA25}">
    <text>NC = 0.40 ug/L
MPC = 40 ug/L
MAC = 400 ug/L
SRC = 600 ug/L</text>
  </threadedComment>
  <threadedComment ref="O121" dT="2023-03-21T17:26:27.32" personId="{E852B2F5-FC3A-4C3F-824F-6C6F428AD4A1}" id="{9E6756CF-A579-4CA5-A84F-84F31D704FA7}">
    <text>max value between off 1 and off 2 is chosen</text>
  </threadedComment>
  <threadedComment ref="N124" dT="2023-03-15T09:58:59.82" personId="{18838036-6754-49A5-83C0-53DEB0600053}" id="{9C97E02D-A75F-414D-B259-39F83EC75F60}">
    <text>Freshwater</text>
  </threadedComment>
  <threadedComment ref="N125" dT="2023-03-15T11:11:12.25" personId="{18838036-6754-49A5-83C0-53DEB0600053}" id="{5FFFADC9-0013-4514-A578-ABB7AF4B2EF3}">
    <text>13.7 mg/L  intermittent release</text>
  </threadedComment>
  <threadedComment ref="N139" dT="2023-03-22T07:42:43.89" personId="{E852B2F5-FC3A-4C3F-824F-6C6F428AD4A1}" id="{539D9275-8CF8-441D-BE09-C28F0C368CC6}">
    <text>NC = 0.40 ug/L
MPC = 40 ug/L
MAC = 400 ug/L
SRC = 600 ug/L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26" dT="2023-06-08T12:02:17.46" personId="{18838036-6754-49A5-83C0-53DEB0600053}" id="{798494CE-306B-4A01-8F4B-57459FABF70B}">
    <text>Average value: 0.05-0.1 m/s</text>
  </threadedComment>
  <threadedComment ref="B27" dT="2023-06-08T12:02:48.45" personId="{18838036-6754-49A5-83C0-53DEB0600053}" id="{E2C39E0E-E643-4D72-B51E-2FFF3EC83341}">
    <text>Assuming for now the same cross section of the other canal</text>
  </threadedComment>
  <threadedComment ref="H47" dT="2023-03-15T09:58:59.82" personId="{18838036-6754-49A5-83C0-53DEB0600053}" id="{6C2FB434-CF2B-4BBD-A130-080CFC54352A}">
    <text>Freshwater</text>
  </threadedComment>
  <threadedComment ref="S47" dT="2023-03-15T09:58:59.82" personId="{18838036-6754-49A5-83C0-53DEB0600053}" id="{EC96C32C-B5F9-4819-8D6A-BA000EE76CCF}">
    <text>Freshwater</text>
  </threadedComment>
  <threadedComment ref="H48" dT="2023-03-15T11:11:12.25" personId="{18838036-6754-49A5-83C0-53DEB0600053}" id="{CBA26D95-78EC-4708-A054-C6DD261E9E22}">
    <text>13.7 mg/L  intermittent release</text>
  </threadedComment>
  <threadedComment ref="S48" dT="2023-03-15T11:11:12.25" personId="{18838036-6754-49A5-83C0-53DEB0600053}" id="{9C3588A1-B6B7-467E-B562-AC0EFBCE2766}">
    <text>13.7 mg/L  intermittent release</text>
  </threadedComment>
  <threadedComment ref="H62" dT="2023-03-22T07:42:43.89" personId="{E852B2F5-FC3A-4C3F-824F-6C6F428AD4A1}" id="{861BB0B7-949B-4321-99CE-180DC515214A}">
    <text>NC = 0.40 ug/L
MPC = 40 ug/L
MAC = 400 ug/L
SRC = 600 ug/L</text>
  </threadedComment>
  <threadedComment ref="S62" dT="2023-03-22T07:42:43.89" personId="{E852B2F5-FC3A-4C3F-824F-6C6F428AD4A1}" id="{3356BA23-ACBA-45C5-8946-1F9B7DF9A909}">
    <text>NC = 0.40 ug/L
MPC = 40 ug/L
MAC = 400 ug/L
SRC = 600 ug/L</text>
  </threadedComment>
  <threadedComment ref="H69" dT="2023-03-15T09:58:59.82" personId="{18838036-6754-49A5-83C0-53DEB0600053}" id="{1CF61F17-18B1-4431-A043-D4D301471233}">
    <text>Freshwater</text>
  </threadedComment>
  <threadedComment ref="S69" dT="2023-03-15T09:58:59.82" personId="{18838036-6754-49A5-83C0-53DEB0600053}" id="{8BF16546-C151-442B-9578-759CADC05021}">
    <text>Freshwater</text>
  </threadedComment>
  <threadedComment ref="H70" dT="2023-03-15T11:11:12.25" personId="{18838036-6754-49A5-83C0-53DEB0600053}" id="{1DB867C6-0221-48E1-A691-7E4F3022C14B}">
    <text>13.7 mg/L  intermittent release</text>
  </threadedComment>
  <threadedComment ref="S70" dT="2023-03-15T11:11:12.25" personId="{18838036-6754-49A5-83C0-53DEB0600053}" id="{B4BD60D9-DE10-4482-AB58-BDE68BA4E770}">
    <text>13.7 mg/L  intermittent release</text>
  </threadedComment>
  <threadedComment ref="H84" dT="2023-03-22T07:42:43.89" personId="{E852B2F5-FC3A-4C3F-824F-6C6F428AD4A1}" id="{1293D445-3F9B-478B-BCF1-EBA1190D0C66}">
    <text>NC = 0.40 ug/L
MPC = 40 ug/L
MAC = 400 ug/L
SRC = 600 ug/L</text>
  </threadedComment>
  <threadedComment ref="S84" dT="2023-03-22T07:42:43.89" personId="{E852B2F5-FC3A-4C3F-824F-6C6F428AD4A1}" id="{5A362508-AE9E-41EF-A49C-E6C7B81C50F7}">
    <text>NC = 0.40 ug/L
MPC = 40 ug/L
MAC = 400 ug/L
SRC = 600 ug/L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O1" dT="2023-03-21T17:26:27.32" personId="{E852B2F5-FC3A-4C3F-824F-6C6F428AD4A1}" id="{373104A5-3542-4D91-BE3F-62F220894F6D}">
    <text>max value between off 1 and off 2 is chosen</text>
  </threadedComment>
  <threadedComment ref="N4" dT="2023-03-15T09:58:59.82" personId="{18838036-6754-49A5-83C0-53DEB0600053}" id="{0E9A8562-8E7E-4961-8A9D-328E4D700C0C}">
    <text>Freshwater</text>
  </threadedComment>
  <threadedComment ref="N5" dT="2023-03-15T11:11:12.25" personId="{18838036-6754-49A5-83C0-53DEB0600053}" id="{84E95EA0-FB35-46D3-91D5-34A3A9CC63DD}">
    <text>13.7 mg/L  intermittent release</text>
  </threadedComment>
  <threadedComment ref="N19" dT="2023-03-22T07:42:43.89" personId="{E852B2F5-FC3A-4C3F-824F-6C6F428AD4A1}" id="{AA1E65BE-A32F-4F72-8DEE-E854242EB664}">
    <text>NC = 0.40 ug/L
MPC = 40 ug/L
MAC = 400 ug/L
SRC = 600 ug/L</text>
  </threadedComment>
  <threadedComment ref="O21" dT="2023-03-21T17:26:27.32" personId="{E852B2F5-FC3A-4C3F-824F-6C6F428AD4A1}" id="{E49CBF63-F2B3-4925-BCDA-1E04BDD6D81B}">
    <text>max value between off 1 and off 2 is chosen</text>
  </threadedComment>
  <threadedComment ref="N24" dT="2023-03-15T09:58:59.82" personId="{18838036-6754-49A5-83C0-53DEB0600053}" id="{7E6F7A89-171A-4096-8657-EA18F1222C5E}">
    <text>Freshwater</text>
  </threadedComment>
  <threadedComment ref="N25" dT="2023-03-15T11:11:12.25" personId="{18838036-6754-49A5-83C0-53DEB0600053}" id="{B1135172-3470-4269-96E3-E97BFABF68B0}">
    <text>13.7 mg/L  intermittent release</text>
  </threadedComment>
  <threadedComment ref="N39" dT="2023-03-22T07:42:43.89" personId="{E852B2F5-FC3A-4C3F-824F-6C6F428AD4A1}" id="{C1799310-4E94-426B-AD1B-278D3890DB8E}">
    <text>NC = 0.40 ug/L
MPC = 40 ug/L
MAC = 400 ug/L
SRC = 600 ug/L</text>
  </threadedComment>
  <threadedComment ref="O41" dT="2023-03-21T17:26:27.32" personId="{E852B2F5-FC3A-4C3F-824F-6C6F428AD4A1}" id="{EA2FAD70-A2C2-4E3D-B650-4F5A7198E1D8}">
    <text>max value between off 1 and off 2 is chosen</text>
  </threadedComment>
  <threadedComment ref="N44" dT="2023-03-15T09:58:59.82" personId="{18838036-6754-49A5-83C0-53DEB0600053}" id="{0499856F-8631-42B8-AA60-95E41A939E4C}">
    <text>Freshwater</text>
  </threadedComment>
  <threadedComment ref="N45" dT="2023-03-15T11:11:12.25" personId="{18838036-6754-49A5-83C0-53DEB0600053}" id="{A76854A6-4377-4999-AE25-7E29CE17E978}">
    <text>13.7 mg/L  intermittent release</text>
  </threadedComment>
  <threadedComment ref="N59" dT="2023-03-22T07:42:43.89" personId="{E852B2F5-FC3A-4C3F-824F-6C6F428AD4A1}" id="{6C4CE13E-F24B-435F-A37D-C39978031A3A}">
    <text>NC = 0.40 ug/L
MPC = 40 ug/L
MAC = 400 ug/L
SRC = 600 ug/L</text>
  </threadedComment>
  <threadedComment ref="O61" dT="2023-03-21T17:26:27.32" personId="{E852B2F5-FC3A-4C3F-824F-6C6F428AD4A1}" id="{65005B89-4ED4-44AF-9CB0-DCA4B284E790}">
    <text>max value between off 1 and off 2 is chosen</text>
  </threadedComment>
  <threadedComment ref="N64" dT="2023-03-15T09:58:59.82" personId="{18838036-6754-49A5-83C0-53DEB0600053}" id="{CEDDC3F7-F083-46B4-8637-AB2457111151}">
    <text>Freshwater</text>
  </threadedComment>
  <threadedComment ref="N65" dT="2023-03-15T11:11:12.25" personId="{18838036-6754-49A5-83C0-53DEB0600053}" id="{A823527E-07EA-4FE6-B8AD-4D3842CB3193}">
    <text>13.7 mg/L  intermittent release</text>
  </threadedComment>
  <threadedComment ref="N79" dT="2023-03-22T07:42:43.89" personId="{E852B2F5-FC3A-4C3F-824F-6C6F428AD4A1}" id="{554F6557-31FC-4A28-901D-7DE6E33F6006}">
    <text>NC = 0.40 ug/L
MPC = 40 ug/L
MAC = 400 ug/L
SRC = 600 ug/L</text>
  </threadedComment>
  <threadedComment ref="O81" dT="2023-03-21T17:26:27.32" personId="{E852B2F5-FC3A-4C3F-824F-6C6F428AD4A1}" id="{B1D313AA-96C1-4C8F-B528-30DD85DB943B}">
    <text>max value between off 1 and off 2 is chosen</text>
  </threadedComment>
  <threadedComment ref="N84" dT="2023-03-15T09:58:59.82" personId="{18838036-6754-49A5-83C0-53DEB0600053}" id="{190D2690-7A4F-4BE1-8F23-176252A585F3}">
    <text>Freshwater</text>
  </threadedComment>
  <threadedComment ref="N85" dT="2023-03-15T11:11:12.25" personId="{18838036-6754-49A5-83C0-53DEB0600053}" id="{A4544586-0459-41E8-BBC9-C54E1D87F255}">
    <text>13.7 mg/L  intermittent release</text>
  </threadedComment>
  <threadedComment ref="N99" dT="2023-03-22T07:42:43.89" personId="{E852B2F5-FC3A-4C3F-824F-6C6F428AD4A1}" id="{36009D90-CA34-44C6-946A-603F34DC0629}">
    <text>NC = 0.40 ug/L
MPC = 40 ug/L
MAC = 400 ug/L
SRC = 600 ug/L</text>
  </threadedComment>
  <threadedComment ref="O101" dT="2023-03-21T17:26:27.32" personId="{E852B2F5-FC3A-4C3F-824F-6C6F428AD4A1}" id="{676BC9D1-6D98-48C7-BD2B-DEBEAF85E928}">
    <text>max value between off 1 and off 2 is chosen</text>
  </threadedComment>
  <threadedComment ref="N104" dT="2023-03-15T09:58:59.82" personId="{18838036-6754-49A5-83C0-53DEB0600053}" id="{082AA738-893E-4288-8C86-432BA0ACB449}">
    <text>Freshwater</text>
  </threadedComment>
  <threadedComment ref="N105" dT="2023-03-15T11:11:12.25" personId="{18838036-6754-49A5-83C0-53DEB0600053}" id="{CAC970B8-0E06-4430-A5FC-555DCA4CB4E9}">
    <text>13.7 mg/L  intermittent release</text>
  </threadedComment>
  <threadedComment ref="N119" dT="2023-03-22T07:42:43.89" personId="{E852B2F5-FC3A-4C3F-824F-6C6F428AD4A1}" id="{623AAFA2-0774-413B-81CC-C0C3498B81B4}">
    <text>NC = 0.40 ug/L
MPC = 40 ug/L
MAC = 400 ug/L
SRC = 600 ug/L</text>
  </threadedComment>
  <threadedComment ref="O121" dT="2023-03-21T17:26:27.32" personId="{E852B2F5-FC3A-4C3F-824F-6C6F428AD4A1}" id="{A2710394-8382-420F-9065-F6CE37ABA10B}">
    <text>max value between off 1 and off 2 is chosen</text>
  </threadedComment>
  <threadedComment ref="N124" dT="2023-03-15T09:58:59.82" personId="{18838036-6754-49A5-83C0-53DEB0600053}" id="{AA59406D-CEA5-4D82-816C-C62C6E0EC890}">
    <text>Freshwater</text>
  </threadedComment>
  <threadedComment ref="N125" dT="2023-03-15T11:11:12.25" personId="{18838036-6754-49A5-83C0-53DEB0600053}" id="{B1C46A3A-D913-4FEF-A31B-19D90D25D9A3}">
    <text>13.7 mg/L  intermittent release</text>
  </threadedComment>
  <threadedComment ref="N139" dT="2023-03-22T07:42:43.89" personId="{E852B2F5-FC3A-4C3F-824F-6C6F428AD4A1}" id="{C02FD1B6-C69B-447C-B5D7-CA706D4612C1}">
    <text>NC = 0.40 ug/L
MPC = 40 ug/L
MAC = 400 ug/L
SRC = 600 ug/L</text>
  </threadedComment>
  <threadedComment ref="O141" dT="2023-03-21T17:26:27.32" personId="{E852B2F5-FC3A-4C3F-824F-6C6F428AD4A1}" id="{745ADEC5-D372-4C92-8465-99DEE85A9E7B}">
    <text>max value between off 1 and off 2 is chosen</text>
  </threadedComment>
  <threadedComment ref="N144" dT="2023-03-15T09:58:59.82" personId="{18838036-6754-49A5-83C0-53DEB0600053}" id="{8D9CDD87-67B2-430B-BA26-E468856A0846}">
    <text>Freshwater</text>
  </threadedComment>
  <threadedComment ref="N145" dT="2023-03-15T11:11:12.25" personId="{18838036-6754-49A5-83C0-53DEB0600053}" id="{E2C21BDE-DE2B-464F-83BD-329226DDC74A}">
    <text>13.7 mg/L  intermittent release</text>
  </threadedComment>
  <threadedComment ref="N159" dT="2023-03-22T07:42:43.89" personId="{E852B2F5-FC3A-4C3F-824F-6C6F428AD4A1}" id="{095036B1-BE3D-42AD-8E00-FA9C8669B7F7}">
    <text>NC = 0.40 ug/L
MPC = 40 ug/L
MAC = 400 ug/L
SRC = 600 ug/L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B26" dT="2023-06-08T12:02:17.46" personId="{18838036-6754-49A5-83C0-53DEB0600053}" id="{78C0FF04-97F3-A04B-A8CB-1D429FE205DC}">
    <text>Average value: 0.05-0.1 m/s</text>
  </threadedComment>
  <threadedComment ref="B27" dT="2023-06-08T12:02:48.45" personId="{18838036-6754-49A5-83C0-53DEB0600053}" id="{8E22AB86-BC26-2849-84E1-88E49B3666D0}">
    <text>Assuming for now the same cross section of the other canal</text>
  </threadedComment>
  <threadedComment ref="H47" dT="2023-03-15T09:58:59.82" personId="{18838036-6754-49A5-83C0-53DEB0600053}" id="{A5F64CDD-8BE9-4D48-8214-086F7EC2BE90}">
    <text>Freshwater</text>
  </threadedComment>
  <threadedComment ref="S47" dT="2023-03-15T09:58:59.82" personId="{18838036-6754-49A5-83C0-53DEB0600053}" id="{2776AA17-2DDD-407A-9F3A-0AEA16C128CA}">
    <text>Freshwater</text>
  </threadedComment>
  <threadedComment ref="H48" dT="2023-03-15T11:11:12.25" personId="{18838036-6754-49A5-83C0-53DEB0600053}" id="{E2910DA9-77F5-4A34-B15E-3BBBAFCC78DA}">
    <text>13.7 mg/L  intermittent release</text>
  </threadedComment>
  <threadedComment ref="S48" dT="2023-03-15T11:11:12.25" personId="{18838036-6754-49A5-83C0-53DEB0600053}" id="{639413F8-E719-4937-8B7B-42C5EB0BAE19}">
    <text>13.7 mg/L  intermittent release</text>
  </threadedComment>
  <threadedComment ref="H62" dT="2023-03-22T07:42:43.89" personId="{E852B2F5-FC3A-4C3F-824F-6C6F428AD4A1}" id="{9A7ED070-B5CD-4497-9F2A-18A2D0ADBCEB}">
    <text>NC = 0.40 ug/L
MPC = 40 ug/L
MAC = 400 ug/L
SRC = 600 ug/L</text>
  </threadedComment>
  <threadedComment ref="S62" dT="2023-03-22T07:42:43.89" personId="{E852B2F5-FC3A-4C3F-824F-6C6F428AD4A1}" id="{8C3CD3EF-151C-40B7-A5CD-1CAB07E91FD2}">
    <text>NC = 0.40 ug/L
MPC = 40 ug/L
MAC = 400 ug/L
SRC = 600 ug/L</text>
  </threadedComment>
  <threadedComment ref="H69" dT="2023-03-15T09:58:59.82" personId="{18838036-6754-49A5-83C0-53DEB0600053}" id="{FAAE4341-DF0E-4455-B443-576452CCFE63}">
    <text>Freshwater</text>
  </threadedComment>
  <threadedComment ref="S69" dT="2023-03-15T09:58:59.82" personId="{18838036-6754-49A5-83C0-53DEB0600053}" id="{76F74728-A43D-45CF-AA9E-C8BA03A9037F}">
    <text>Freshwater</text>
  </threadedComment>
  <threadedComment ref="H70" dT="2023-03-15T11:11:12.25" personId="{18838036-6754-49A5-83C0-53DEB0600053}" id="{6054EDD5-4886-4D9E-B3DF-84CDAD0D8FD2}">
    <text>13.7 mg/L  intermittent release</text>
  </threadedComment>
  <threadedComment ref="S70" dT="2023-03-15T11:11:12.25" personId="{18838036-6754-49A5-83C0-53DEB0600053}" id="{5F801923-9D73-4E04-A7CE-718A18C75951}">
    <text>13.7 mg/L  intermittent release</text>
  </threadedComment>
  <threadedComment ref="H84" dT="2023-03-22T07:42:43.89" personId="{E852B2F5-FC3A-4C3F-824F-6C6F428AD4A1}" id="{62384544-70A3-4D32-A229-8D039D6084C4}">
    <text>NC = 0.40 ug/L
MPC = 40 ug/L
MAC = 400 ug/L
SRC = 600 ug/L</text>
  </threadedComment>
  <threadedComment ref="S84" dT="2023-03-22T07:42:43.89" personId="{E852B2F5-FC3A-4C3F-824F-6C6F428AD4A1}" id="{3EE37597-54D3-495F-97BA-2D76FD1CF29A}">
    <text>NC = 0.40 ug/L
MPC = 40 ug/L
MAC = 400 ug/L
SRC = 600 ug/L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O1" dT="2023-03-21T17:26:27.32" personId="{E852B2F5-FC3A-4C3F-824F-6C6F428AD4A1}" id="{D3D84598-3137-4757-A8A9-17B59BEB376B}">
    <text>max value between off 1 and off 2 is chosen</text>
  </threadedComment>
  <threadedComment ref="N4" dT="2023-03-15T09:58:59.82" personId="{18838036-6754-49A5-83C0-53DEB0600053}" id="{0824B2D5-9D50-4067-A736-4DCF214B7466}">
    <text>Freshwater</text>
  </threadedComment>
  <threadedComment ref="N5" dT="2023-03-15T11:11:12.25" personId="{18838036-6754-49A5-83C0-53DEB0600053}" id="{60E57A67-3C18-4522-8C90-6FC646DF2750}">
    <text>13.7 mg/L  intermittent release</text>
  </threadedComment>
  <threadedComment ref="N19" dT="2023-03-22T07:42:43.89" personId="{E852B2F5-FC3A-4C3F-824F-6C6F428AD4A1}" id="{2E23A8AF-6A78-4EDA-953D-093CF634BE76}">
    <text>NC = 0.40 ug/L
MPC = 40 ug/L
MAC = 400 ug/L
SRC = 600 ug/L</text>
  </threadedComment>
  <threadedComment ref="O21" dT="2023-03-21T17:26:27.32" personId="{E852B2F5-FC3A-4C3F-824F-6C6F428AD4A1}" id="{B31CB291-53F9-4715-81FB-314A8F6C6973}">
    <text>max value between off 1 and off 2 is chosen</text>
  </threadedComment>
  <threadedComment ref="N24" dT="2023-03-15T09:58:59.82" personId="{18838036-6754-49A5-83C0-53DEB0600053}" id="{9404DF30-17D2-41FF-B647-67F45DBAF5F2}">
    <text>Freshwater</text>
  </threadedComment>
  <threadedComment ref="N25" dT="2023-03-15T11:11:12.25" personId="{18838036-6754-49A5-83C0-53DEB0600053}" id="{3742E9F6-961B-4D44-94ED-B971215869D4}">
    <text>13.7 mg/L  intermittent release</text>
  </threadedComment>
  <threadedComment ref="N39" dT="2023-03-22T07:42:43.89" personId="{E852B2F5-FC3A-4C3F-824F-6C6F428AD4A1}" id="{5BF4FEEA-0BE6-4C78-8D68-D4C8C1DB129C}">
    <text>NC = 0.40 ug/L
MPC = 40 ug/L
MAC = 400 ug/L
SRC = 600 ug/L</text>
  </threadedComment>
  <threadedComment ref="O41" dT="2023-03-21T17:26:27.32" personId="{E852B2F5-FC3A-4C3F-824F-6C6F428AD4A1}" id="{1627B8C3-DC7E-4EAA-AC72-ED45775B0DA5}">
    <text>max value between off 1 and off 2 is chosen</text>
  </threadedComment>
  <threadedComment ref="N44" dT="2023-03-15T09:58:59.82" personId="{18838036-6754-49A5-83C0-53DEB0600053}" id="{B64B9174-4EC9-434F-A6BF-48EB0A8254E6}">
    <text>Freshwater</text>
  </threadedComment>
  <threadedComment ref="N45" dT="2023-03-15T11:11:12.25" personId="{18838036-6754-49A5-83C0-53DEB0600053}" id="{189C0E88-A456-4F28-8FB0-05447F756461}">
    <text>13.7 mg/L  intermittent release</text>
  </threadedComment>
  <threadedComment ref="N59" dT="2023-03-22T07:42:43.89" personId="{E852B2F5-FC3A-4C3F-824F-6C6F428AD4A1}" id="{E664F5D1-B12F-44BB-9F5B-C43962468503}">
    <text>NC = 0.40 ug/L
MPC = 40 ug/L
MAC = 400 ug/L
SRC = 600 ug/L</text>
  </threadedComment>
  <threadedComment ref="O61" dT="2023-03-21T17:26:27.32" personId="{E852B2F5-FC3A-4C3F-824F-6C6F428AD4A1}" id="{FCE7EE7F-1D56-4991-A565-8488B0C69C61}">
    <text>max value between off 1 and off 2 is chosen</text>
  </threadedComment>
  <threadedComment ref="N64" dT="2023-03-15T09:58:59.82" personId="{18838036-6754-49A5-83C0-53DEB0600053}" id="{9C85CBB0-5DF5-4354-9B8F-87F0F28F06E2}">
    <text>Freshwater</text>
  </threadedComment>
  <threadedComment ref="N65" dT="2023-03-15T11:11:12.25" personId="{18838036-6754-49A5-83C0-53DEB0600053}" id="{A35CBD48-C10A-4AE4-BD60-B9C8EEE9387D}">
    <text>13.7 mg/L  intermittent release</text>
  </threadedComment>
  <threadedComment ref="N79" dT="2023-03-22T07:42:43.89" personId="{E852B2F5-FC3A-4C3F-824F-6C6F428AD4A1}" id="{085A358C-91FF-43A7-90FB-B6DB8C18EE3D}">
    <text>NC = 0.40 ug/L
MPC = 40 ug/L
MAC = 400 ug/L
SRC = 600 ug/L</text>
  </threadedComment>
  <threadedComment ref="O81" dT="2023-03-21T17:26:27.32" personId="{E852B2F5-FC3A-4C3F-824F-6C6F428AD4A1}" id="{0C83B56F-93D1-4930-A45A-3C513D00FD81}">
    <text>max value between off 1 and off 2 is chosen</text>
  </threadedComment>
  <threadedComment ref="N84" dT="2023-03-15T09:58:59.82" personId="{18838036-6754-49A5-83C0-53DEB0600053}" id="{499CB0DE-B5AB-4E47-A433-D20AC2FD64A9}">
    <text>Freshwater</text>
  </threadedComment>
  <threadedComment ref="N85" dT="2023-03-15T11:11:12.25" personId="{18838036-6754-49A5-83C0-53DEB0600053}" id="{A09E0891-A945-4958-B058-2F144055BA71}">
    <text>13.7 mg/L  intermittent release</text>
  </threadedComment>
  <threadedComment ref="N99" dT="2023-03-22T07:42:43.89" personId="{E852B2F5-FC3A-4C3F-824F-6C6F428AD4A1}" id="{5FDBB4AB-4494-4018-8499-E93B23EA19A3}">
    <text>NC = 0.40 ug/L
MPC = 40 ug/L
MAC = 400 ug/L
SRC = 600 ug/L</text>
  </threadedComment>
  <threadedComment ref="O101" dT="2023-03-21T17:26:27.32" personId="{E852B2F5-FC3A-4C3F-824F-6C6F428AD4A1}" id="{C723C9D1-7A03-48DA-B688-3F6ED257F9BA}">
    <text>max value between off 1 and off 2 is chosen</text>
  </threadedComment>
  <threadedComment ref="N104" dT="2023-03-15T09:58:59.82" personId="{18838036-6754-49A5-83C0-53DEB0600053}" id="{C6F0A1B1-CB38-4F95-9C64-0AEE94CD23D3}">
    <text>Freshwater</text>
  </threadedComment>
  <threadedComment ref="N105" dT="2023-03-15T11:11:12.25" personId="{18838036-6754-49A5-83C0-53DEB0600053}" id="{BBF21E3A-876B-49B2-8909-56FE7B094A1D}">
    <text>13.7 mg/L  intermittent release</text>
  </threadedComment>
  <threadedComment ref="N119" dT="2023-03-22T07:42:43.89" personId="{E852B2F5-FC3A-4C3F-824F-6C6F428AD4A1}" id="{E7210635-D6B7-4503-B059-B292367503C6}">
    <text>NC = 0.40 ug/L
MPC = 40 ug/L
MAC = 400 ug/L
SRC = 600 ug/L</text>
  </threadedComment>
  <threadedComment ref="O121" dT="2023-03-21T17:26:27.32" personId="{E852B2F5-FC3A-4C3F-824F-6C6F428AD4A1}" id="{ACC59A13-4EDF-4742-8EB0-DE19B1949EB8}">
    <text>max value between off 1 and off 2 is chosen</text>
  </threadedComment>
  <threadedComment ref="N124" dT="2023-03-15T09:58:59.82" personId="{18838036-6754-49A5-83C0-53DEB0600053}" id="{DA91CAAE-5657-45DB-8E0C-7EAB10B7CA30}">
    <text>Freshwater</text>
  </threadedComment>
  <threadedComment ref="N125" dT="2023-03-15T11:11:12.25" personId="{18838036-6754-49A5-83C0-53DEB0600053}" id="{7B64A171-9C98-40A3-8448-F9433E95AA14}">
    <text>13.7 mg/L  intermittent release</text>
  </threadedComment>
  <threadedComment ref="N139" dT="2023-03-22T07:42:43.89" personId="{E852B2F5-FC3A-4C3F-824F-6C6F428AD4A1}" id="{918F1377-D6AC-48E5-8D0D-C0C70FCE0030}">
    <text>NC = 0.40 ug/L
MPC = 40 ug/L
MAC = 400 ug/L
SRC = 600 ug/L</text>
  </threadedComment>
  <threadedComment ref="O141" dT="2023-03-21T17:26:27.32" personId="{E852B2F5-FC3A-4C3F-824F-6C6F428AD4A1}" id="{C461B198-49A7-46E7-9BE2-A79DDA041D57}">
    <text>max value between off 1 and off 2 is chosen</text>
  </threadedComment>
  <threadedComment ref="N144" dT="2023-03-15T09:58:59.82" personId="{18838036-6754-49A5-83C0-53DEB0600053}" id="{50D58762-A877-4B97-8D9F-0DD79B8FE943}">
    <text>Freshwater</text>
  </threadedComment>
  <threadedComment ref="N145" dT="2023-03-15T11:11:12.25" personId="{18838036-6754-49A5-83C0-53DEB0600053}" id="{C16DAE0A-F398-4B90-9A7E-DECF071FBA2F}">
    <text>13.7 mg/L  intermittent release</text>
  </threadedComment>
  <threadedComment ref="N159" dT="2023-03-22T07:42:43.89" personId="{E852B2F5-FC3A-4C3F-824F-6C6F428AD4A1}" id="{A343D374-A28A-454D-826D-04C453330B92}">
    <text>NC = 0.40 ug/L
MPC = 40 ug/L
MAC = 400 ug/L
SRC = 600 ug/L</text>
  </threadedComment>
  <threadedComment ref="O161" dT="2023-03-21T17:26:27.32" personId="{E852B2F5-FC3A-4C3F-824F-6C6F428AD4A1}" id="{A1501B61-1FF3-4517-956E-9BA01E1B35F1}">
    <text>max value between off 1 and off 2 is chosen</text>
  </threadedComment>
  <threadedComment ref="N164" dT="2023-03-15T09:58:59.82" personId="{18838036-6754-49A5-83C0-53DEB0600053}" id="{B8D9BE51-6E96-4842-84AE-F29A4A785392}">
    <text>Freshwater</text>
  </threadedComment>
  <threadedComment ref="N165" dT="2023-03-15T11:11:12.25" personId="{18838036-6754-49A5-83C0-53DEB0600053}" id="{BDC84CEE-D31A-4032-87E5-41180EB472CF}">
    <text>13.7 mg/L  intermittent release</text>
  </threadedComment>
  <threadedComment ref="N179" dT="2023-03-22T07:42:43.89" personId="{E852B2F5-FC3A-4C3F-824F-6C6F428AD4A1}" id="{97465E16-439F-431B-9289-9289C78990B9}">
    <text>NC = 0.40 ug/L
MPC = 40 ug/L
MAC = 400 ug/L
SRC = 600 ug/L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B26" dT="2023-06-08T12:02:17.46" personId="{18838036-6754-49A5-83C0-53DEB0600053}" id="{D974712A-0B86-EE47-BBB6-FB5B40E916C5}">
    <text>Average value: 0.05-0.1 m/s</text>
  </threadedComment>
  <threadedComment ref="B27" dT="2023-06-08T12:02:48.45" personId="{18838036-6754-49A5-83C0-53DEB0600053}" id="{0D18C3EE-F270-B046-8B89-56BBB7629439}">
    <text>Assuming for now the same cross section of the other canal</text>
  </threadedComment>
  <threadedComment ref="H47" dT="2023-03-15T09:58:59.82" personId="{18838036-6754-49A5-83C0-53DEB0600053}" id="{384E18FC-9AA0-4FDB-8AAB-FFBAAB1DFDB4}">
    <text>Freshwater</text>
  </threadedComment>
  <threadedComment ref="S47" dT="2023-03-15T09:58:59.82" personId="{18838036-6754-49A5-83C0-53DEB0600053}" id="{32434794-5A11-4843-8323-919756ADE161}">
    <text>Freshwater</text>
  </threadedComment>
  <threadedComment ref="H48" dT="2023-03-15T11:11:12.25" personId="{18838036-6754-49A5-83C0-53DEB0600053}" id="{DA5BC664-F004-46E5-8256-14C888FEA0C4}">
    <text>13.7 mg/L  intermittent release</text>
  </threadedComment>
  <threadedComment ref="S48" dT="2023-03-15T11:11:12.25" personId="{18838036-6754-49A5-83C0-53DEB0600053}" id="{7954B3A0-C9A7-4A5B-B243-24EF42EADFE4}">
    <text>13.7 mg/L  intermittent release</text>
  </threadedComment>
  <threadedComment ref="H62" dT="2023-03-22T07:42:43.89" personId="{E852B2F5-FC3A-4C3F-824F-6C6F428AD4A1}" id="{A55CBCBA-E92E-4AD6-9DB9-BD77638A5A34}">
    <text>NC = 0.40 ug/L
MPC = 40 ug/L
MAC = 400 ug/L
SRC = 600 ug/L</text>
  </threadedComment>
  <threadedComment ref="S62" dT="2023-03-22T07:42:43.89" personId="{E852B2F5-FC3A-4C3F-824F-6C6F428AD4A1}" id="{F1B227DE-0B26-414C-A402-434B4318A691}">
    <text>NC = 0.40 ug/L
MPC = 40 ug/L
MAC = 400 ug/L
SRC = 600 ug/L</text>
  </threadedComment>
  <threadedComment ref="H69" dT="2023-03-15T09:58:59.82" personId="{18838036-6754-49A5-83C0-53DEB0600053}" id="{A616DA47-E197-478B-B8D8-B7EFA4732AC6}">
    <text>Freshwater</text>
  </threadedComment>
  <threadedComment ref="S69" dT="2023-03-15T09:58:59.82" personId="{18838036-6754-49A5-83C0-53DEB0600053}" id="{191E32FF-817E-440E-93AB-91856A8AC2F9}">
    <text>Freshwater</text>
  </threadedComment>
  <threadedComment ref="H70" dT="2023-03-15T11:11:12.25" personId="{18838036-6754-49A5-83C0-53DEB0600053}" id="{1C19123D-EE1F-4ABB-8EB3-C888EF1AE225}">
    <text>13.7 mg/L  intermittent release</text>
  </threadedComment>
  <threadedComment ref="S70" dT="2023-03-15T11:11:12.25" personId="{18838036-6754-49A5-83C0-53DEB0600053}" id="{26BFF214-0F31-4A37-872F-E994579CB79A}">
    <text>13.7 mg/L  intermittent release</text>
  </threadedComment>
  <threadedComment ref="H84" dT="2023-03-22T07:42:43.89" personId="{E852B2F5-FC3A-4C3F-824F-6C6F428AD4A1}" id="{9BD12319-C066-4120-AF34-C6AF3CC49C74}">
    <text>NC = 0.40 ug/L
MPC = 40 ug/L
MAC = 400 ug/L
SRC = 600 ug/L</text>
  </threadedComment>
  <threadedComment ref="S84" dT="2023-03-22T07:42:43.89" personId="{E852B2F5-FC3A-4C3F-824F-6C6F428AD4A1}" id="{18EFF237-D927-442B-B564-5081E372139E}">
    <text>NC = 0.40 ug/L
MPC = 40 ug/L
MAC = 400 ug/L
SRC = 600 ug/L</text>
  </threadedComment>
</ThreadedComments>
</file>

<file path=xl/threadedComments/threadedComment7.xml><?xml version="1.0" encoding="utf-8"?>
<ThreadedComments xmlns="http://schemas.microsoft.com/office/spreadsheetml/2018/threadedcomments" xmlns:x="http://schemas.openxmlformats.org/spreadsheetml/2006/main">
  <threadedComment ref="O1" dT="2023-03-21T17:26:27.32" personId="{E852B2F5-FC3A-4C3F-824F-6C6F428AD4A1}" id="{9A7B042B-801A-4915-BB66-4049BB8193BD}">
    <text>max value between off 1 and off 2 is chosen</text>
  </threadedComment>
  <threadedComment ref="N4" dT="2023-03-15T09:58:59.82" personId="{18838036-6754-49A5-83C0-53DEB0600053}" id="{6E7194EF-0335-4AA9-B247-7203B36593E4}">
    <text>Freshwater</text>
  </threadedComment>
  <threadedComment ref="N5" dT="2023-03-15T11:11:12.25" personId="{18838036-6754-49A5-83C0-53DEB0600053}" id="{7D47B0BB-9DA8-4A61-AA41-F4C4460AB5E2}">
    <text>13.7 mg/L  intermittent release</text>
  </threadedComment>
  <threadedComment ref="N19" dT="2023-03-22T07:42:43.89" personId="{E852B2F5-FC3A-4C3F-824F-6C6F428AD4A1}" id="{2ACCF2E3-152A-4AE3-9E89-BB2B69494A6B}">
    <text>NC = 0.40 ug/L
MPC = 40 ug/L
MAC = 400 ug/L
SRC = 600 ug/L</text>
  </threadedComment>
  <threadedComment ref="O21" dT="2023-03-21T17:26:27.32" personId="{E852B2F5-FC3A-4C3F-824F-6C6F428AD4A1}" id="{6FFDB991-690C-4BB4-80A7-02573C3B60DE}">
    <text>max value between off 1 and off 2 is chosen</text>
  </threadedComment>
  <threadedComment ref="N24" dT="2023-03-15T09:58:59.82" personId="{18838036-6754-49A5-83C0-53DEB0600053}" id="{28C45485-74D4-474C-8857-1BF5FAC52CF0}">
    <text>Freshwater</text>
  </threadedComment>
  <threadedComment ref="N25" dT="2023-03-15T11:11:12.25" personId="{18838036-6754-49A5-83C0-53DEB0600053}" id="{DDEE5F8E-DF41-4E9A-AAF6-99F39ECE0036}">
    <text>13.7 mg/L  intermittent release</text>
  </threadedComment>
  <threadedComment ref="N39" dT="2023-03-22T07:42:43.89" personId="{E852B2F5-FC3A-4C3F-824F-6C6F428AD4A1}" id="{7A63E446-B3D6-4AC0-930D-9C876E3A3B5A}">
    <text>NC = 0.40 ug/L
MPC = 40 ug/L
MAC = 400 ug/L
SRC = 600 ug/L</text>
  </threadedComment>
  <threadedComment ref="O41" dT="2023-03-21T17:26:27.32" personId="{E852B2F5-FC3A-4C3F-824F-6C6F428AD4A1}" id="{542D6619-6F8F-47DC-BCB5-1FEDDEC4BB16}">
    <text>max value between off 1 and off 2 is chosen</text>
  </threadedComment>
  <threadedComment ref="N44" dT="2023-03-15T09:58:59.82" personId="{18838036-6754-49A5-83C0-53DEB0600053}" id="{1020A7A7-654C-4047-8517-5642D2843A0D}">
    <text>Freshwater</text>
  </threadedComment>
  <threadedComment ref="N45" dT="2023-03-15T11:11:12.25" personId="{18838036-6754-49A5-83C0-53DEB0600053}" id="{3028DCA0-304F-4464-B468-355B3B586382}">
    <text>13.7 mg/L  intermittent release</text>
  </threadedComment>
  <threadedComment ref="N59" dT="2023-03-22T07:42:43.89" personId="{E852B2F5-FC3A-4C3F-824F-6C6F428AD4A1}" id="{E6C67149-0209-4349-B9A8-E0A700CAE704}">
    <text>NC = 0.40 ug/L
MPC = 40 ug/L
MAC = 400 ug/L
SRC = 600 ug/L</text>
  </threadedComment>
  <threadedComment ref="O61" dT="2023-03-21T17:26:27.32" personId="{E852B2F5-FC3A-4C3F-824F-6C6F428AD4A1}" id="{82B44747-C433-4594-8C29-0499017E88C0}">
    <text>max value between off 1 and off 2 is chosen</text>
  </threadedComment>
  <threadedComment ref="N64" dT="2023-03-15T09:58:59.82" personId="{18838036-6754-49A5-83C0-53DEB0600053}" id="{DAF6E3FA-50B7-4516-9432-DCF0930F0FA9}">
    <text>Freshwater</text>
  </threadedComment>
  <threadedComment ref="N65" dT="2023-03-15T11:11:12.25" personId="{18838036-6754-49A5-83C0-53DEB0600053}" id="{F3736B68-0BE6-48F6-8623-FB1BEB7E2BE9}">
    <text>13.7 mg/L  intermittent release</text>
  </threadedComment>
  <threadedComment ref="N79" dT="2023-03-22T07:42:43.89" personId="{E852B2F5-FC3A-4C3F-824F-6C6F428AD4A1}" id="{D28B9AD4-4275-48A1-9ADB-C64196DD4FB1}">
    <text>NC = 0.40 ug/L
MPC = 40 ug/L
MAC = 400 ug/L
SRC = 600 ug/L</text>
  </threadedComment>
  <threadedComment ref="O81" dT="2023-03-21T17:26:27.32" personId="{E852B2F5-FC3A-4C3F-824F-6C6F428AD4A1}" id="{850A8595-6A62-4986-9CB8-CC118D895C05}">
    <text>max value between off 1 and off 2 is chosen</text>
  </threadedComment>
  <threadedComment ref="N84" dT="2023-03-15T09:58:59.82" personId="{18838036-6754-49A5-83C0-53DEB0600053}" id="{97C29CB6-2803-4E4E-8C52-1B6A14E8C21D}">
    <text>Freshwater</text>
  </threadedComment>
  <threadedComment ref="N85" dT="2023-03-15T11:11:12.25" personId="{18838036-6754-49A5-83C0-53DEB0600053}" id="{AA97EAB0-87ED-420B-BE92-0A206621029B}">
    <text>13.7 mg/L  intermittent release</text>
  </threadedComment>
  <threadedComment ref="N99" dT="2023-03-22T07:42:43.89" personId="{E852B2F5-FC3A-4C3F-824F-6C6F428AD4A1}" id="{905C652A-E12D-4190-B10C-F34DBC0A1C04}">
    <text>NC = 0.40 ug/L
MPC = 40 ug/L
MAC = 400 ug/L
SRC = 600 ug/L</text>
  </threadedComment>
  <threadedComment ref="O101" dT="2023-03-21T17:26:27.32" personId="{E852B2F5-FC3A-4C3F-824F-6C6F428AD4A1}" id="{4DF28A71-8CA3-45F2-B6D5-E51264E6DDFE}">
    <text>max value between off 1 and off 2 is chosen</text>
  </threadedComment>
  <threadedComment ref="N104" dT="2023-03-15T09:58:59.82" personId="{18838036-6754-49A5-83C0-53DEB0600053}" id="{A18739D2-92D6-4C2D-BD54-89DDCC355F1F}">
    <text>Freshwater</text>
  </threadedComment>
  <threadedComment ref="N105" dT="2023-03-15T11:11:12.25" personId="{18838036-6754-49A5-83C0-53DEB0600053}" id="{9E6CBCF3-5826-4E30-A2F8-5423C9A9E868}">
    <text>13.7 mg/L  intermittent release</text>
  </threadedComment>
  <threadedComment ref="N119" dT="2023-03-22T07:42:43.89" personId="{E852B2F5-FC3A-4C3F-824F-6C6F428AD4A1}" id="{D2D09997-12D0-46BE-A575-CF53CF7A77DA}">
    <text>NC = 0.40 ug/L
MPC = 40 ug/L
MAC = 400 ug/L
SRC = 600 ug/L</text>
  </threadedComment>
  <threadedComment ref="O121" dT="2023-03-21T17:26:27.32" personId="{E852B2F5-FC3A-4C3F-824F-6C6F428AD4A1}" id="{19D3FB2D-5A46-4D73-8020-AFCFF377BF65}">
    <text>max value between off 1 and off 2 is chosen</text>
  </threadedComment>
  <threadedComment ref="N124" dT="2023-03-15T09:58:59.82" personId="{18838036-6754-49A5-83C0-53DEB0600053}" id="{B47A2EBB-CFBF-43D1-8744-41295D80DC13}">
    <text>Freshwater</text>
  </threadedComment>
  <threadedComment ref="N125" dT="2023-03-15T11:11:12.25" personId="{18838036-6754-49A5-83C0-53DEB0600053}" id="{CA2DC794-7A06-43AF-BE44-97CD042EB7D1}">
    <text>13.7 mg/L  intermittent release</text>
  </threadedComment>
  <threadedComment ref="N139" dT="2023-03-22T07:42:43.89" personId="{E852B2F5-FC3A-4C3F-824F-6C6F428AD4A1}" id="{CC8DB9A3-B2F1-409D-BEB2-A6743C28AB00}">
    <text>NC = 0.40 ug/L
MPC = 40 ug/L
MAC = 400 ug/L
SRC = 600 ug/L</text>
  </threadedComment>
  <threadedComment ref="O141" dT="2023-03-21T17:26:27.32" personId="{E852B2F5-FC3A-4C3F-824F-6C6F428AD4A1}" id="{A2F0E163-EACC-4F69-BF9B-8DBCBD6AEB4C}">
    <text>max value between off 1 and off 2 is chosen</text>
  </threadedComment>
  <threadedComment ref="N144" dT="2023-03-15T09:58:59.82" personId="{18838036-6754-49A5-83C0-53DEB0600053}" id="{1B687C38-CC07-440E-BA1E-40C9EBCD690F}">
    <text>Freshwater</text>
  </threadedComment>
  <threadedComment ref="N145" dT="2023-03-15T11:11:12.25" personId="{18838036-6754-49A5-83C0-53DEB0600053}" id="{1418127C-F5CE-4148-9C55-A9343CF26C88}">
    <text>13.7 mg/L  intermittent release</text>
  </threadedComment>
  <threadedComment ref="N159" dT="2023-03-22T07:42:43.89" personId="{E852B2F5-FC3A-4C3F-824F-6C6F428AD4A1}" id="{ACE5FDB2-D0D9-4A32-87C9-2723C81A8DE3}">
    <text>NC = 0.40 ug/L
MPC = 40 ug/L
MAC = 400 ug/L
SRC = 600 ug/L</text>
  </threadedComment>
  <threadedComment ref="O161" dT="2023-03-21T17:26:27.32" personId="{E852B2F5-FC3A-4C3F-824F-6C6F428AD4A1}" id="{2E93B28B-C2DA-415F-9716-86B5A711AA6B}">
    <text>max value between off 1 and off 2 is chosen</text>
  </threadedComment>
  <threadedComment ref="N164" dT="2023-03-15T09:58:59.82" personId="{18838036-6754-49A5-83C0-53DEB0600053}" id="{20C16DAF-D35B-425F-94BA-9B1EF4AE133A}">
    <text>Freshwater</text>
  </threadedComment>
  <threadedComment ref="N165" dT="2023-03-15T11:11:12.25" personId="{18838036-6754-49A5-83C0-53DEB0600053}" id="{3CA406FD-16CB-4EBD-AC3B-B4021C6D4F60}">
    <text>13.7 mg/L  intermittent release</text>
  </threadedComment>
  <threadedComment ref="N179" dT="2023-03-22T07:42:43.89" personId="{E852B2F5-FC3A-4C3F-824F-6C6F428AD4A1}" id="{3CC33905-0DE0-4561-9DF8-1ED64E72F7C2}">
    <text>NC = 0.40 ug/L
MPC = 40 ug/L
MAC = 400 ug/L
SRC = 600 ug/L</text>
  </threadedComment>
  <threadedComment ref="O181" dT="2023-03-21T17:26:27.32" personId="{E852B2F5-FC3A-4C3F-824F-6C6F428AD4A1}" id="{A631186C-2617-421B-AD90-76ABEE21671B}">
    <text>max value between off 1 and off 2 is chosen</text>
  </threadedComment>
  <threadedComment ref="N184" dT="2023-03-15T09:58:59.82" personId="{18838036-6754-49A5-83C0-53DEB0600053}" id="{BB701FCF-A415-425D-9EEB-C6A9FD3AA9A2}">
    <text>Freshwater</text>
  </threadedComment>
  <threadedComment ref="N185" dT="2023-03-15T11:11:12.25" personId="{18838036-6754-49A5-83C0-53DEB0600053}" id="{374FF3B3-A2E9-4403-9EF6-27B722C4A493}">
    <text>13.7 mg/L  intermittent release</text>
  </threadedComment>
  <threadedComment ref="N199" dT="2023-03-22T07:42:43.89" personId="{E852B2F5-FC3A-4C3F-824F-6C6F428AD4A1}" id="{85F14B26-3C38-4074-8F21-79AC5526EF7F}">
    <text>NC = 0.40 ug/L
MPC = 40 ug/L
MAC = 400 ug/L
SRC = 600 ug/L</text>
  </threadedComment>
  <threadedComment ref="O201" dT="2023-03-21T17:26:27.32" personId="{E852B2F5-FC3A-4C3F-824F-6C6F428AD4A1}" id="{8D1E115A-BA3F-4E7E-9163-D9908D9ED05B}">
    <text>max value between off 1 and off 2 is chosen</text>
  </threadedComment>
  <threadedComment ref="N204" dT="2023-03-15T09:58:59.82" personId="{18838036-6754-49A5-83C0-53DEB0600053}" id="{E7CCDEC2-7446-4903-991A-1BC5F1BAD9AE}">
    <text>Freshwater</text>
  </threadedComment>
  <threadedComment ref="N205" dT="2023-03-15T11:11:12.25" personId="{18838036-6754-49A5-83C0-53DEB0600053}" id="{A600ED99-B9C9-413D-B2BA-4523CD56E760}">
    <text>13.7 mg/L  intermittent release</text>
  </threadedComment>
  <threadedComment ref="N219" dT="2023-03-22T07:42:43.89" personId="{E852B2F5-FC3A-4C3F-824F-6C6F428AD4A1}" id="{D3D3100D-DC64-4E13-953E-7733E1E8F761}">
    <text>NC = 0.40 ug/L
MPC = 40 ug/L
MAC = 400 ug/L
SRC = 600 ug/L</text>
  </threadedComment>
</ThreadedComments>
</file>

<file path=xl/threadedComments/threadedComment8.xml><?xml version="1.0" encoding="utf-8"?>
<ThreadedComments xmlns="http://schemas.microsoft.com/office/spreadsheetml/2018/threadedcomments" xmlns:x="http://schemas.openxmlformats.org/spreadsheetml/2006/main">
  <threadedComment ref="B26" dT="2023-06-08T12:02:17.46" personId="{18838036-6754-49A5-83C0-53DEB0600053}" id="{D17BCF6C-B0BA-DC47-B531-8F42587AB9A1}">
    <text>Average value: 0.05-0.1 m/s</text>
  </threadedComment>
  <threadedComment ref="B27" dT="2023-06-08T12:02:48.45" personId="{18838036-6754-49A5-83C0-53DEB0600053}" id="{451C702F-8CC5-3943-BD94-9D887BA8DC33}">
    <text>Assuming for now the same cross section of the other canal</text>
  </threadedComment>
  <threadedComment ref="H47" dT="2023-03-15T09:58:59.82" personId="{18838036-6754-49A5-83C0-53DEB0600053}" id="{255B09C1-CD60-40F3-83C8-66CB8237A01E}">
    <text>Freshwater</text>
  </threadedComment>
  <threadedComment ref="S47" dT="2023-03-15T09:58:59.82" personId="{18838036-6754-49A5-83C0-53DEB0600053}" id="{07AA723B-58D1-41CF-8992-8DAD84B6BE65}">
    <text>Freshwater</text>
  </threadedComment>
  <threadedComment ref="H48" dT="2023-03-15T11:11:12.25" personId="{18838036-6754-49A5-83C0-53DEB0600053}" id="{C5DA3A15-33E7-48BE-B184-91CDD388D895}">
    <text>13.7 mg/L  intermittent release</text>
  </threadedComment>
  <threadedComment ref="S48" dT="2023-03-15T11:11:12.25" personId="{18838036-6754-49A5-83C0-53DEB0600053}" id="{6CB0725C-4165-4253-8FE0-79A140E84E17}">
    <text>13.7 mg/L  intermittent release</text>
  </threadedComment>
  <threadedComment ref="H62" dT="2023-03-22T07:42:43.89" personId="{E852B2F5-FC3A-4C3F-824F-6C6F428AD4A1}" id="{6911E3EA-7FD5-4BF8-B695-4BD9670A6052}">
    <text>NC = 0.40 ug/L
MPC = 40 ug/L
MAC = 400 ug/L
SRC = 600 ug/L</text>
  </threadedComment>
  <threadedComment ref="S62" dT="2023-03-22T07:42:43.89" personId="{E852B2F5-FC3A-4C3F-824F-6C6F428AD4A1}" id="{B2EDF9C5-74A3-4584-8597-E8875247A4DD}">
    <text>NC = 0.40 ug/L
MPC = 40 ug/L
MAC = 400 ug/L
SRC = 600 ug/L</text>
  </threadedComment>
  <threadedComment ref="H69" dT="2023-03-15T09:58:59.82" personId="{18838036-6754-49A5-83C0-53DEB0600053}" id="{75EEE416-23D1-417F-B3A5-53614F39208E}">
    <text>Freshwater</text>
  </threadedComment>
  <threadedComment ref="S69" dT="2023-03-15T09:58:59.82" personId="{18838036-6754-49A5-83C0-53DEB0600053}" id="{64F649FC-3264-4773-BA13-2858523BC002}">
    <text>Freshwater</text>
  </threadedComment>
  <threadedComment ref="H70" dT="2023-03-15T11:11:12.25" personId="{18838036-6754-49A5-83C0-53DEB0600053}" id="{76C4CE85-D9F4-4AFE-9896-850F5392C6B3}">
    <text>13.7 mg/L  intermittent release</text>
  </threadedComment>
  <threadedComment ref="S70" dT="2023-03-15T11:11:12.25" personId="{18838036-6754-49A5-83C0-53DEB0600053}" id="{341F59F6-BEBD-4CFE-A1B5-C3ACF0E88EA5}">
    <text>13.7 mg/L  intermittent release</text>
  </threadedComment>
  <threadedComment ref="H84" dT="2023-03-22T07:42:43.89" personId="{E852B2F5-FC3A-4C3F-824F-6C6F428AD4A1}" id="{8906B153-44D1-4E73-A6B8-CCCB7A702DAD}">
    <text>NC = 0.40 ug/L
MPC = 40 ug/L
MAC = 400 ug/L
SRC = 600 ug/L</text>
  </threadedComment>
  <threadedComment ref="S84" dT="2023-03-22T07:42:43.89" personId="{E852B2F5-FC3A-4C3F-824F-6C6F428AD4A1}" id="{3F754F3F-D1E7-4654-8C16-1AE072D78FDF}">
    <text>NC = 0.40 ug/L
MPC = 40 ug/L
MAC = 400 ug/L
SRC = 600 ug/L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microsoft.com/office/2017/10/relationships/threadedComment" Target="../threadedComments/threadedComment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4" Type="http://schemas.microsoft.com/office/2017/10/relationships/threadedComment" Target="../threadedComments/threadedComment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4" Type="http://schemas.microsoft.com/office/2017/10/relationships/threadedComment" Target="../threadedComments/threadedComment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4" Type="http://schemas.microsoft.com/office/2017/10/relationships/threadedComment" Target="../threadedComments/threadedComment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4" Type="http://schemas.microsoft.com/office/2017/10/relationships/threadedComment" Target="../threadedComments/threadedComment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4" Type="http://schemas.microsoft.com/office/2017/10/relationships/threadedComment" Target="../threadedComments/threadedComment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890A9-DD1D-40F2-8476-33160FC7EB72}">
  <dimension ref="A1:AN140"/>
  <sheetViews>
    <sheetView workbookViewId="0">
      <selection activeCell="F3" sqref="F3:G20"/>
    </sheetView>
  </sheetViews>
  <sheetFormatPr baseColWidth="10" defaultColWidth="10" defaultRowHeight="14" x14ac:dyDescent="0.2"/>
  <cols>
    <col min="1" max="1" width="13.83203125" style="20" bestFit="1" customWidth="1"/>
    <col min="2" max="2" width="11.33203125" style="46" bestFit="1" customWidth="1"/>
    <col min="3" max="4" width="10.1640625" style="20" customWidth="1"/>
    <col min="5" max="5" width="12.5" style="20" customWidth="1"/>
    <col min="6" max="13" width="10.1640625" style="20" customWidth="1"/>
    <col min="14" max="14" width="11.6640625" style="46" customWidth="1"/>
    <col min="15" max="15" width="12.5" style="38" bestFit="1" customWidth="1"/>
    <col min="16" max="18" width="10.33203125" style="38" bestFit="1" customWidth="1"/>
    <col min="19" max="19" width="10.1640625" style="20" bestFit="1" customWidth="1"/>
    <col min="20" max="16384" width="10" style="20"/>
  </cols>
  <sheetData>
    <row r="1" spans="1:19" ht="35" customHeight="1" x14ac:dyDescent="0.2">
      <c r="B1" s="21" t="s">
        <v>99</v>
      </c>
      <c r="C1" s="100" t="s">
        <v>100</v>
      </c>
      <c r="D1" s="101"/>
      <c r="E1" s="22" t="s">
        <v>101</v>
      </c>
      <c r="F1" s="23">
        <v>40179</v>
      </c>
      <c r="G1" s="23">
        <v>40180</v>
      </c>
      <c r="H1" s="23">
        <v>40210</v>
      </c>
      <c r="I1" s="23">
        <v>40211</v>
      </c>
      <c r="J1" s="23">
        <v>40330</v>
      </c>
      <c r="K1" s="23">
        <v>40331</v>
      </c>
      <c r="L1" s="24" t="s">
        <v>102</v>
      </c>
      <c r="M1" s="25" t="s">
        <v>103</v>
      </c>
      <c r="N1" s="26" t="s">
        <v>104</v>
      </c>
      <c r="O1" s="27" t="s">
        <v>105</v>
      </c>
      <c r="P1" s="28" t="s">
        <v>106</v>
      </c>
      <c r="Q1" s="28" t="s">
        <v>107</v>
      </c>
      <c r="R1" s="28" t="s">
        <v>108</v>
      </c>
      <c r="S1" s="102" t="s">
        <v>109</v>
      </c>
    </row>
    <row r="2" spans="1:19" ht="16" x14ac:dyDescent="0.2">
      <c r="B2" s="29" t="s">
        <v>110</v>
      </c>
      <c r="C2" s="30" t="s">
        <v>111</v>
      </c>
      <c r="D2" s="30" t="s">
        <v>112</v>
      </c>
      <c r="E2" s="31" t="s">
        <v>113</v>
      </c>
      <c r="F2" s="31" t="s">
        <v>113</v>
      </c>
      <c r="G2" s="31" t="s">
        <v>113</v>
      </c>
      <c r="H2" s="31" t="s">
        <v>113</v>
      </c>
      <c r="I2" s="31" t="s">
        <v>113</v>
      </c>
      <c r="J2" s="31" t="s">
        <v>113</v>
      </c>
      <c r="K2" s="31" t="s">
        <v>113</v>
      </c>
      <c r="L2" s="31" t="s">
        <v>113</v>
      </c>
      <c r="M2" s="31" t="s">
        <v>113</v>
      </c>
      <c r="N2" s="32" t="s">
        <v>113</v>
      </c>
      <c r="O2" s="33" t="s">
        <v>27</v>
      </c>
      <c r="P2" s="34" t="s">
        <v>27</v>
      </c>
      <c r="Q2" s="34" t="s">
        <v>27</v>
      </c>
      <c r="R2" s="34" t="s">
        <v>27</v>
      </c>
      <c r="S2" s="103"/>
    </row>
    <row r="3" spans="1:19" ht="15" x14ac:dyDescent="0.2">
      <c r="A3" s="20">
        <v>1</v>
      </c>
      <c r="B3" s="35" t="s">
        <v>114</v>
      </c>
      <c r="C3" s="36">
        <v>0</v>
      </c>
      <c r="D3" s="36">
        <f>C3*1000</f>
        <v>0</v>
      </c>
      <c r="E3" s="36"/>
      <c r="F3" s="35">
        <v>0</v>
      </c>
      <c r="G3" s="35">
        <v>0</v>
      </c>
      <c r="H3" s="35">
        <v>0</v>
      </c>
      <c r="I3" s="35">
        <v>0</v>
      </c>
      <c r="J3" s="35">
        <v>0</v>
      </c>
      <c r="K3" s="35">
        <v>0</v>
      </c>
      <c r="L3" s="37">
        <v>6.7999999999999996E-3</v>
      </c>
      <c r="M3" s="35">
        <v>0</v>
      </c>
      <c r="N3" s="7">
        <v>5.7000000000000002E-2</v>
      </c>
      <c r="O3" s="38">
        <v>0</v>
      </c>
      <c r="P3" s="38">
        <v>0</v>
      </c>
      <c r="Q3" s="38">
        <v>0</v>
      </c>
      <c r="R3" s="38">
        <f>L3/N3</f>
        <v>0.11929824561403507</v>
      </c>
      <c r="S3" s="20">
        <v>1</v>
      </c>
    </row>
    <row r="4" spans="1:19" ht="15" x14ac:dyDescent="0.2">
      <c r="A4" s="20">
        <v>2</v>
      </c>
      <c r="B4" s="39" t="s">
        <v>115</v>
      </c>
      <c r="C4" s="36">
        <f>6.33*0.3</f>
        <v>1.899</v>
      </c>
      <c r="D4" s="36">
        <f t="shared" ref="D4:D19" si="0">C4*1000</f>
        <v>1899</v>
      </c>
      <c r="E4" s="36"/>
      <c r="F4" s="40">
        <v>9.24</v>
      </c>
      <c r="G4" s="41">
        <v>17.399999999999999</v>
      </c>
      <c r="H4" s="41">
        <v>5.5</v>
      </c>
      <c r="I4" s="40">
        <v>6.82</v>
      </c>
      <c r="J4" s="40">
        <v>1.94</v>
      </c>
      <c r="K4" s="40">
        <v>2.0299999999999998</v>
      </c>
      <c r="L4" s="40">
        <v>8.09</v>
      </c>
      <c r="M4" s="40">
        <v>1.1299999999999999</v>
      </c>
      <c r="N4" s="7">
        <v>114.7</v>
      </c>
      <c r="O4" s="38">
        <f>MAX(F4:G4)/$N4</f>
        <v>0.15170008718395814</v>
      </c>
      <c r="P4" s="38">
        <f>MAX(H4:I4)/$N4</f>
        <v>5.9459459459459463E-2</v>
      </c>
      <c r="Q4" s="38">
        <f>MAX(J4:K4)/$N4</f>
        <v>1.7698343504795117E-2</v>
      </c>
      <c r="R4" s="38">
        <f>MAX(L4:M4)/$N4</f>
        <v>7.0531822144725365E-2</v>
      </c>
      <c r="S4" s="20">
        <v>1</v>
      </c>
    </row>
    <row r="5" spans="1:19" ht="15" x14ac:dyDescent="0.2">
      <c r="A5" s="20">
        <v>3</v>
      </c>
      <c r="B5" s="42" t="s">
        <v>116</v>
      </c>
      <c r="C5" s="43">
        <f>4.52*0.3</f>
        <v>1.3559999999999999</v>
      </c>
      <c r="D5" s="36">
        <f t="shared" si="0"/>
        <v>1355.9999999999998</v>
      </c>
      <c r="E5" s="36"/>
      <c r="F5" s="44">
        <v>95</v>
      </c>
      <c r="G5" s="44">
        <v>143</v>
      </c>
      <c r="H5" s="44">
        <v>76</v>
      </c>
      <c r="I5" s="44">
        <v>73</v>
      </c>
      <c r="J5" s="44">
        <v>28</v>
      </c>
      <c r="K5" s="44">
        <v>23</v>
      </c>
      <c r="L5" s="44">
        <v>32</v>
      </c>
      <c r="M5" s="44">
        <v>35</v>
      </c>
      <c r="N5" s="6">
        <v>2900</v>
      </c>
      <c r="O5" s="38">
        <f>MAX(F5:G5)/N5</f>
        <v>4.9310344827586207E-2</v>
      </c>
      <c r="P5" s="38">
        <f t="shared" ref="P5:P19" si="1">MAX(H5:I5)/$N5</f>
        <v>2.6206896551724139E-2</v>
      </c>
      <c r="Q5" s="38">
        <f t="shared" ref="Q5:Q19" si="2">MAX(J5:K5)/$N5</f>
        <v>9.655172413793104E-3</v>
      </c>
      <c r="R5" s="38">
        <f t="shared" ref="R5:R19" si="3">MAX(L5:M5)/$N5</f>
        <v>1.2068965517241379E-2</v>
      </c>
      <c r="S5" s="20">
        <v>1</v>
      </c>
    </row>
    <row r="6" spans="1:19" s="39" customFormat="1" ht="15" x14ac:dyDescent="0.2">
      <c r="A6" s="20">
        <v>4</v>
      </c>
      <c r="B6" s="39" t="s">
        <v>117</v>
      </c>
      <c r="C6" s="39">
        <f>0.158*0.3</f>
        <v>4.7399999999999998E-2</v>
      </c>
      <c r="D6" s="39">
        <f>C6*1000</f>
        <v>47.4</v>
      </c>
      <c r="E6" s="39">
        <v>200</v>
      </c>
      <c r="F6" s="39">
        <v>2.64</v>
      </c>
      <c r="G6" s="39">
        <v>2.19</v>
      </c>
      <c r="H6" s="39">
        <v>1.81</v>
      </c>
      <c r="I6" s="39">
        <v>1.66</v>
      </c>
      <c r="J6" s="39">
        <v>0.73</v>
      </c>
      <c r="K6" s="39">
        <v>0</v>
      </c>
      <c r="L6" s="39">
        <v>0</v>
      </c>
      <c r="M6" s="39">
        <v>0</v>
      </c>
      <c r="N6" s="3">
        <v>1.06</v>
      </c>
      <c r="O6" s="39">
        <f>MAX(F6:G6)/N6</f>
        <v>2.4905660377358489</v>
      </c>
      <c r="P6" s="39">
        <f t="shared" si="1"/>
        <v>1.7075471698113207</v>
      </c>
      <c r="Q6" s="39">
        <f t="shared" si="2"/>
        <v>0.68867924528301883</v>
      </c>
      <c r="R6" s="39">
        <f t="shared" si="3"/>
        <v>0</v>
      </c>
      <c r="S6" s="39">
        <v>1</v>
      </c>
    </row>
    <row r="7" spans="1:19" s="39" customFormat="1" ht="15" x14ac:dyDescent="0.2">
      <c r="A7" s="20">
        <v>5</v>
      </c>
      <c r="B7" s="39" t="s">
        <v>118</v>
      </c>
      <c r="C7" s="39">
        <v>0</v>
      </c>
      <c r="D7" s="39">
        <f t="shared" si="0"/>
        <v>0</v>
      </c>
      <c r="E7" s="39">
        <v>1000</v>
      </c>
      <c r="F7" s="39">
        <v>64</v>
      </c>
      <c r="G7" s="39">
        <v>65.099999999999994</v>
      </c>
      <c r="H7" s="39">
        <v>17.8</v>
      </c>
      <c r="I7" s="39">
        <v>42.4</v>
      </c>
      <c r="J7" s="39">
        <v>18.7</v>
      </c>
      <c r="K7" s="39">
        <v>20.8</v>
      </c>
      <c r="L7" s="39">
        <v>14.1</v>
      </c>
      <c r="M7" s="39">
        <v>15.3</v>
      </c>
      <c r="N7" s="3">
        <v>6.3</v>
      </c>
      <c r="O7" s="39">
        <f>MAX(F7:G7)/N7</f>
        <v>10.333333333333332</v>
      </c>
      <c r="P7" s="39">
        <f t="shared" si="1"/>
        <v>6.7301587301587302</v>
      </c>
      <c r="Q7" s="39">
        <f t="shared" si="2"/>
        <v>3.3015873015873018</v>
      </c>
      <c r="R7" s="39">
        <f>MAX(L7:M7)/$N7</f>
        <v>2.4285714285714288</v>
      </c>
      <c r="S7" s="39">
        <v>1</v>
      </c>
    </row>
    <row r="8" spans="1:19" s="39" customFormat="1" ht="15" x14ac:dyDescent="0.2">
      <c r="A8" s="20">
        <v>6</v>
      </c>
      <c r="B8" s="39" t="s">
        <v>16</v>
      </c>
      <c r="C8" s="39">
        <f>0.742*0.3</f>
        <v>0.22259999999999999</v>
      </c>
      <c r="D8" s="39">
        <f>C8*1000</f>
        <v>222.6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">
        <v>1650</v>
      </c>
      <c r="O8" s="39">
        <f>MAX(F8:G8)/N8</f>
        <v>0</v>
      </c>
      <c r="P8" s="39">
        <f t="shared" si="1"/>
        <v>0</v>
      </c>
      <c r="Q8" s="39">
        <f t="shared" si="2"/>
        <v>0</v>
      </c>
      <c r="R8" s="39">
        <f>MAX(L8:M8)/$N8</f>
        <v>0</v>
      </c>
      <c r="S8" s="39">
        <v>1</v>
      </c>
    </row>
    <row r="9" spans="1:19" s="39" customFormat="1" ht="15" x14ac:dyDescent="0.2">
      <c r="A9" s="20">
        <v>7</v>
      </c>
      <c r="B9" s="39" t="s">
        <v>119</v>
      </c>
      <c r="C9" s="39">
        <f>21.1*0.3</f>
        <v>6.33</v>
      </c>
      <c r="D9" s="39">
        <f t="shared" si="0"/>
        <v>6330</v>
      </c>
      <c r="E9" s="39">
        <v>500</v>
      </c>
      <c r="F9" s="39">
        <v>368</v>
      </c>
      <c r="G9" s="39">
        <v>373</v>
      </c>
      <c r="H9" s="39">
        <v>285</v>
      </c>
      <c r="I9" s="39">
        <v>323</v>
      </c>
      <c r="J9" s="39">
        <v>107</v>
      </c>
      <c r="K9" s="39">
        <v>106</v>
      </c>
      <c r="L9" s="39">
        <v>51.6</v>
      </c>
      <c r="M9" s="39">
        <v>50.7</v>
      </c>
      <c r="N9" s="3">
        <v>34</v>
      </c>
      <c r="O9" s="39">
        <f>MAX(F9:G9)/N9</f>
        <v>10.970588235294118</v>
      </c>
      <c r="P9" s="39">
        <f t="shared" si="1"/>
        <v>9.5</v>
      </c>
      <c r="Q9" s="39">
        <f t="shared" si="2"/>
        <v>3.1470588235294117</v>
      </c>
      <c r="R9" s="39">
        <f t="shared" si="3"/>
        <v>1.5176470588235293</v>
      </c>
      <c r="S9" s="39">
        <v>1</v>
      </c>
    </row>
    <row r="10" spans="1:19" s="39" customFormat="1" ht="15" x14ac:dyDescent="0.2">
      <c r="A10" s="20">
        <v>8</v>
      </c>
      <c r="B10" s="39" t="s">
        <v>120</v>
      </c>
      <c r="C10" s="39">
        <v>0</v>
      </c>
      <c r="D10" s="39">
        <f t="shared" si="0"/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">
        <v>11900</v>
      </c>
      <c r="O10" s="39">
        <f t="shared" ref="O10:O19" si="4">MAX(F10:G10)/N10</f>
        <v>0</v>
      </c>
      <c r="P10" s="39">
        <f t="shared" si="1"/>
        <v>0</v>
      </c>
      <c r="Q10" s="39">
        <f t="shared" si="2"/>
        <v>0</v>
      </c>
      <c r="R10" s="39">
        <f t="shared" si="3"/>
        <v>0</v>
      </c>
      <c r="S10" s="39">
        <v>1</v>
      </c>
    </row>
    <row r="11" spans="1:19" s="39" customFormat="1" ht="15" x14ac:dyDescent="0.2">
      <c r="A11" s="20">
        <v>9</v>
      </c>
      <c r="B11" s="39" t="s">
        <v>11</v>
      </c>
      <c r="C11" s="39">
        <f>0.58*0.3</f>
        <v>0.17399999999999999</v>
      </c>
      <c r="D11" s="39">
        <f>C11*1000</f>
        <v>174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">
        <v>37</v>
      </c>
      <c r="O11" s="39">
        <f t="shared" si="4"/>
        <v>0</v>
      </c>
      <c r="P11" s="39">
        <f t="shared" si="1"/>
        <v>0</v>
      </c>
      <c r="Q11" s="39">
        <f t="shared" si="2"/>
        <v>0</v>
      </c>
      <c r="R11" s="39">
        <f t="shared" si="3"/>
        <v>0</v>
      </c>
      <c r="S11" s="39">
        <v>1</v>
      </c>
    </row>
    <row r="12" spans="1:19" s="39" customFormat="1" ht="15" x14ac:dyDescent="0.2">
      <c r="A12" s="20">
        <v>10</v>
      </c>
      <c r="B12" s="39" t="s">
        <v>121</v>
      </c>
      <c r="C12" s="39">
        <f>0.527*0.3</f>
        <v>0.15809999999999999</v>
      </c>
      <c r="D12" s="39">
        <f t="shared" si="0"/>
        <v>158.1</v>
      </c>
      <c r="F12" s="39">
        <v>2.4</v>
      </c>
      <c r="G12" s="39">
        <v>2.2999999999999998</v>
      </c>
      <c r="H12" s="39">
        <v>1.7</v>
      </c>
      <c r="I12" s="39">
        <v>1.6</v>
      </c>
      <c r="J12" s="39">
        <v>0</v>
      </c>
      <c r="K12" s="39">
        <v>0</v>
      </c>
      <c r="L12" s="39">
        <v>0</v>
      </c>
      <c r="M12" s="39">
        <v>0</v>
      </c>
      <c r="N12" s="3">
        <v>4.0999999999999996</v>
      </c>
      <c r="O12" s="39">
        <f t="shared" si="4"/>
        <v>0.58536585365853666</v>
      </c>
      <c r="P12" s="39">
        <f t="shared" si="1"/>
        <v>0.41463414634146345</v>
      </c>
      <c r="Q12" s="39">
        <f t="shared" si="2"/>
        <v>0</v>
      </c>
      <c r="R12" s="39">
        <f t="shared" si="3"/>
        <v>0</v>
      </c>
      <c r="S12" s="39">
        <v>1</v>
      </c>
    </row>
    <row r="13" spans="1:19" s="39" customFormat="1" ht="15" x14ac:dyDescent="0.2">
      <c r="A13" s="20">
        <v>11</v>
      </c>
      <c r="B13" s="39" t="s">
        <v>122</v>
      </c>
      <c r="C13" s="39">
        <f>0.3*33.3</f>
        <v>9.9899999999999984</v>
      </c>
      <c r="D13" s="39">
        <f t="shared" si="0"/>
        <v>9989.9999999999982</v>
      </c>
      <c r="E13" s="39">
        <v>3000</v>
      </c>
      <c r="F13" s="39">
        <v>884</v>
      </c>
      <c r="G13" s="39">
        <v>615</v>
      </c>
      <c r="H13" s="39">
        <v>699</v>
      </c>
      <c r="I13" s="39">
        <v>628</v>
      </c>
      <c r="J13" s="39">
        <v>344</v>
      </c>
      <c r="K13" s="39">
        <v>315</v>
      </c>
      <c r="L13" s="39">
        <v>264</v>
      </c>
      <c r="M13" s="39">
        <v>203</v>
      </c>
      <c r="N13" s="3">
        <v>14.4</v>
      </c>
      <c r="O13" s="39">
        <f t="shared" si="4"/>
        <v>61.388888888888886</v>
      </c>
      <c r="P13" s="39">
        <f t="shared" si="1"/>
        <v>48.541666666666664</v>
      </c>
      <c r="Q13" s="39">
        <f t="shared" si="2"/>
        <v>23.888888888888889</v>
      </c>
      <c r="R13" s="39">
        <f t="shared" si="3"/>
        <v>18.333333333333332</v>
      </c>
      <c r="S13" s="39">
        <v>1</v>
      </c>
    </row>
    <row r="14" spans="1:19" s="39" customFormat="1" ht="15" x14ac:dyDescent="0.2">
      <c r="A14" s="20">
        <v>12</v>
      </c>
      <c r="B14" s="39" t="s">
        <v>123</v>
      </c>
      <c r="C14" s="39">
        <v>0</v>
      </c>
      <c r="D14" s="39">
        <f t="shared" si="0"/>
        <v>0</v>
      </c>
      <c r="F14" s="39">
        <v>0.08</v>
      </c>
      <c r="G14" s="39">
        <v>5.0999999999999997E-2</v>
      </c>
      <c r="H14" s="39">
        <v>4.7E-2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">
        <v>0.19</v>
      </c>
      <c r="O14" s="39">
        <f t="shared" si="4"/>
        <v>0.42105263157894735</v>
      </c>
      <c r="P14" s="39">
        <f t="shared" si="1"/>
        <v>0.24736842105263157</v>
      </c>
      <c r="Q14" s="39">
        <f t="shared" si="2"/>
        <v>0</v>
      </c>
      <c r="R14" s="39">
        <f t="shared" si="3"/>
        <v>0</v>
      </c>
      <c r="S14" s="39">
        <v>1</v>
      </c>
    </row>
    <row r="15" spans="1:19" s="39" customFormat="1" ht="15" x14ac:dyDescent="0.2">
      <c r="A15" s="20">
        <v>13</v>
      </c>
      <c r="B15" s="39" t="s">
        <v>124</v>
      </c>
      <c r="C15" s="39">
        <f>0.578*0.3</f>
        <v>0.17339999999999997</v>
      </c>
      <c r="D15" s="39">
        <f t="shared" si="0"/>
        <v>173.39999999999998</v>
      </c>
      <c r="F15" s="39">
        <v>0.83</v>
      </c>
      <c r="G15" s="39">
        <v>1.06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">
        <v>6.5</v>
      </c>
      <c r="O15" s="39">
        <f>MAX(F15:G15)/N15</f>
        <v>0.16307692307692309</v>
      </c>
      <c r="P15" s="39">
        <f t="shared" si="1"/>
        <v>0</v>
      </c>
      <c r="Q15" s="39">
        <f t="shared" si="2"/>
        <v>0</v>
      </c>
      <c r="R15" s="39">
        <f t="shared" si="3"/>
        <v>0</v>
      </c>
      <c r="S15" s="39">
        <v>1</v>
      </c>
    </row>
    <row r="16" spans="1:19" s="39" customFormat="1" ht="15" x14ac:dyDescent="0.2">
      <c r="A16" s="20">
        <v>14</v>
      </c>
      <c r="B16" s="39" t="s">
        <v>125</v>
      </c>
      <c r="C16" s="39">
        <v>0</v>
      </c>
      <c r="D16" s="39">
        <f t="shared" si="0"/>
        <v>0</v>
      </c>
      <c r="E16" s="39">
        <v>1000</v>
      </c>
      <c r="F16" s="39">
        <v>27.8</v>
      </c>
      <c r="G16" s="39">
        <v>24.7</v>
      </c>
      <c r="H16" s="39">
        <v>16.899999999999999</v>
      </c>
      <c r="I16" s="39">
        <v>19.100000000000001</v>
      </c>
      <c r="J16" s="39">
        <v>3.67</v>
      </c>
      <c r="K16" s="39">
        <v>6.56</v>
      </c>
      <c r="L16" s="39">
        <v>20.2</v>
      </c>
      <c r="M16" s="39">
        <v>10.1</v>
      </c>
      <c r="N16" s="3">
        <v>20</v>
      </c>
      <c r="O16" s="39">
        <f t="shared" si="4"/>
        <v>1.3900000000000001</v>
      </c>
      <c r="P16" s="39">
        <f t="shared" si="1"/>
        <v>0.95500000000000007</v>
      </c>
      <c r="Q16" s="39">
        <f t="shared" si="2"/>
        <v>0.32799999999999996</v>
      </c>
      <c r="R16" s="39">
        <f t="shared" si="3"/>
        <v>1.01</v>
      </c>
      <c r="S16" s="39">
        <v>1</v>
      </c>
    </row>
    <row r="17" spans="1:40" s="39" customFormat="1" ht="15" x14ac:dyDescent="0.2">
      <c r="A17" s="20">
        <v>15</v>
      </c>
      <c r="B17" s="39" t="s">
        <v>126</v>
      </c>
      <c r="C17" s="39">
        <f>1.58*0.3</f>
        <v>0.47399999999999998</v>
      </c>
      <c r="D17" s="39">
        <f t="shared" si="0"/>
        <v>474</v>
      </c>
      <c r="F17" s="39">
        <v>1.36</v>
      </c>
      <c r="G17" s="39">
        <v>1.54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">
        <v>2.4</v>
      </c>
      <c r="O17" s="39">
        <f t="shared" si="4"/>
        <v>0.64166666666666672</v>
      </c>
      <c r="P17" s="39">
        <f t="shared" si="1"/>
        <v>0</v>
      </c>
      <c r="Q17" s="39">
        <f t="shared" si="2"/>
        <v>0</v>
      </c>
      <c r="R17" s="39">
        <f t="shared" si="3"/>
        <v>0</v>
      </c>
      <c r="S17" s="39">
        <v>1</v>
      </c>
    </row>
    <row r="18" spans="1:40" s="39" customFormat="1" ht="15" x14ac:dyDescent="0.2">
      <c r="A18" s="20">
        <v>16</v>
      </c>
      <c r="B18" s="39" t="s">
        <v>127</v>
      </c>
      <c r="C18" s="39">
        <v>0</v>
      </c>
      <c r="D18" s="39">
        <f t="shared" si="0"/>
        <v>0</v>
      </c>
      <c r="F18" s="39">
        <v>2.5499999999999998</v>
      </c>
      <c r="G18" s="39">
        <v>2.39</v>
      </c>
      <c r="H18" s="39">
        <v>1.52</v>
      </c>
      <c r="I18" s="39">
        <v>1.42</v>
      </c>
      <c r="J18" s="39">
        <v>0</v>
      </c>
      <c r="K18" s="39">
        <v>0</v>
      </c>
      <c r="L18" s="39">
        <v>0</v>
      </c>
      <c r="M18" s="39">
        <v>0</v>
      </c>
      <c r="N18" s="3">
        <v>5.6</v>
      </c>
      <c r="O18" s="39">
        <f t="shared" si="4"/>
        <v>0.45535714285714285</v>
      </c>
      <c r="P18" s="39">
        <f t="shared" si="1"/>
        <v>0.27142857142857146</v>
      </c>
      <c r="Q18" s="39">
        <f t="shared" si="2"/>
        <v>0</v>
      </c>
      <c r="R18" s="39">
        <f t="shared" si="3"/>
        <v>0</v>
      </c>
      <c r="S18" s="39">
        <v>1</v>
      </c>
    </row>
    <row r="19" spans="1:40" s="39" customFormat="1" ht="15" x14ac:dyDescent="0.2">
      <c r="A19" s="20">
        <v>17</v>
      </c>
      <c r="B19" s="39" t="s">
        <v>1</v>
      </c>
      <c r="C19" s="39">
        <f>135000*0.3</f>
        <v>40500</v>
      </c>
      <c r="D19" s="39">
        <f t="shared" si="0"/>
        <v>40500000</v>
      </c>
      <c r="F19" s="39">
        <v>797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">
        <v>28</v>
      </c>
      <c r="O19" s="39">
        <f t="shared" si="4"/>
        <v>28.464285714285715</v>
      </c>
      <c r="P19" s="39">
        <f t="shared" si="1"/>
        <v>0</v>
      </c>
      <c r="Q19" s="39">
        <f t="shared" si="2"/>
        <v>0</v>
      </c>
      <c r="R19" s="39">
        <f t="shared" si="3"/>
        <v>0</v>
      </c>
      <c r="S19" s="39">
        <v>1</v>
      </c>
    </row>
    <row r="20" spans="1:40" s="45" customFormat="1" ht="15" x14ac:dyDescent="0.2">
      <c r="A20" s="20">
        <v>18</v>
      </c>
      <c r="B20" s="39" t="s">
        <v>0</v>
      </c>
      <c r="C20" s="39">
        <v>0</v>
      </c>
      <c r="D20" s="39">
        <v>0</v>
      </c>
      <c r="E20" s="39"/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">
        <v>170</v>
      </c>
      <c r="O20" s="39">
        <f>F20/$N$20</f>
        <v>0</v>
      </c>
      <c r="P20" s="39">
        <f t="shared" ref="P20:R20" si="5">G20/$N$20</f>
        <v>0</v>
      </c>
      <c r="Q20" s="39">
        <f t="shared" si="5"/>
        <v>0</v>
      </c>
      <c r="R20" s="39">
        <f t="shared" si="5"/>
        <v>0</v>
      </c>
      <c r="S20" s="39">
        <v>1</v>
      </c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</row>
    <row r="21" spans="1:40" ht="16" x14ac:dyDescent="0.2">
      <c r="E21" s="95" t="s">
        <v>99</v>
      </c>
      <c r="F21" s="97" t="s">
        <v>128</v>
      </c>
      <c r="G21" s="98"/>
      <c r="H21" s="98"/>
      <c r="I21" s="98"/>
      <c r="J21" s="98"/>
      <c r="K21" s="98"/>
      <c r="L21" s="98"/>
      <c r="M21" s="99"/>
      <c r="N21" s="26" t="s">
        <v>104</v>
      </c>
      <c r="O21" s="47" t="s">
        <v>105</v>
      </c>
      <c r="P21" s="48" t="s">
        <v>106</v>
      </c>
      <c r="Q21" s="48" t="s">
        <v>107</v>
      </c>
      <c r="R21" s="49" t="s">
        <v>108</v>
      </c>
    </row>
    <row r="22" spans="1:40" ht="16" x14ac:dyDescent="0.2">
      <c r="E22" s="96"/>
      <c r="F22" s="50">
        <v>10</v>
      </c>
      <c r="G22" s="51">
        <v>10</v>
      </c>
      <c r="H22" s="51">
        <v>10</v>
      </c>
      <c r="I22" s="51">
        <v>10</v>
      </c>
      <c r="J22" s="51">
        <v>10</v>
      </c>
      <c r="K22" s="51">
        <v>10</v>
      </c>
      <c r="L22" s="51">
        <v>10</v>
      </c>
      <c r="M22" s="52">
        <v>10</v>
      </c>
      <c r="N22" s="32" t="s">
        <v>113</v>
      </c>
      <c r="O22" s="47" t="s">
        <v>27</v>
      </c>
      <c r="P22" s="48" t="s">
        <v>27</v>
      </c>
      <c r="Q22" s="48" t="s">
        <v>27</v>
      </c>
      <c r="R22" s="49" t="s">
        <v>27</v>
      </c>
    </row>
    <row r="23" spans="1:40" ht="15" x14ac:dyDescent="0.2">
      <c r="B23" s="46" t="s">
        <v>111</v>
      </c>
      <c r="D23" s="20">
        <v>1</v>
      </c>
      <c r="E23" s="39" t="s">
        <v>114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f>L3/$L$22</f>
        <v>6.7999999999999994E-4</v>
      </c>
      <c r="M23" s="39">
        <v>0</v>
      </c>
      <c r="N23" s="7">
        <v>5.7000000000000002E-2</v>
      </c>
      <c r="O23" s="39">
        <f>MAX(F23:G23)/N23</f>
        <v>0</v>
      </c>
      <c r="P23" s="39">
        <f>MAX(G23:H23)/N23</f>
        <v>0</v>
      </c>
      <c r="Q23" s="39">
        <f>MAX(J23:K23)/N23</f>
        <v>0</v>
      </c>
      <c r="R23" s="39">
        <f>MAX(L23:M23)/N23</f>
        <v>1.1929824561403507E-2</v>
      </c>
    </row>
    <row r="24" spans="1:40" ht="15" x14ac:dyDescent="0.2">
      <c r="A24" s="39" t="s">
        <v>1</v>
      </c>
      <c r="B24" s="46">
        <f>135000</f>
        <v>135000</v>
      </c>
      <c r="C24" s="46" t="s">
        <v>129</v>
      </c>
      <c r="D24" s="20">
        <v>2</v>
      </c>
      <c r="E24" s="39" t="s">
        <v>115</v>
      </c>
      <c r="F24" s="39">
        <f>F4/$F$22</f>
        <v>0.92400000000000004</v>
      </c>
      <c r="G24" s="39">
        <f>G4/$G$22</f>
        <v>1.7399999999999998</v>
      </c>
      <c r="H24" s="39">
        <f>H4/$H$22</f>
        <v>0.55000000000000004</v>
      </c>
      <c r="I24" s="39">
        <f>I4/$I$22</f>
        <v>0.68200000000000005</v>
      </c>
      <c r="J24" s="39">
        <f>J4/$J$22</f>
        <v>0.19400000000000001</v>
      </c>
      <c r="K24" s="39">
        <f>K4/$K$22</f>
        <v>0.20299999999999999</v>
      </c>
      <c r="L24" s="39">
        <f>L4/$L$22</f>
        <v>0.80899999999999994</v>
      </c>
      <c r="M24" s="39">
        <f>M4/$M$22</f>
        <v>0.11299999999999999</v>
      </c>
      <c r="N24" s="7">
        <v>114.7</v>
      </c>
      <c r="O24" s="39">
        <f t="shared" ref="O24:O38" si="6">MAX(F24:G24)/N24</f>
        <v>1.5170008718395812E-2</v>
      </c>
      <c r="P24" s="39">
        <f t="shared" ref="P24:P38" si="7">MAX(G24:H24)/N24</f>
        <v>1.5170008718395812E-2</v>
      </c>
      <c r="Q24" s="39">
        <f t="shared" ref="Q24:Q38" si="8">MAX(J24:K24)/N24</f>
        <v>1.7698343504795116E-3</v>
      </c>
      <c r="R24" s="39">
        <f t="shared" ref="R24:R38" si="9">MAX(L24:M24)/N24</f>
        <v>7.0531822144725359E-3</v>
      </c>
    </row>
    <row r="25" spans="1:40" ht="15" x14ac:dyDescent="0.2">
      <c r="A25" s="20" t="s">
        <v>130</v>
      </c>
      <c r="B25" s="46">
        <v>797</v>
      </c>
      <c r="C25" s="20" t="s">
        <v>26</v>
      </c>
      <c r="D25" s="20">
        <v>3</v>
      </c>
      <c r="E25" s="39" t="s">
        <v>116</v>
      </c>
      <c r="F25" s="39">
        <f t="shared" ref="F25:F40" si="10">F5/$F$22</f>
        <v>9.5</v>
      </c>
      <c r="G25" s="39">
        <f t="shared" ref="G25:G40" si="11">G5/$G$22</f>
        <v>14.3</v>
      </c>
      <c r="H25" s="39">
        <f t="shared" ref="H25:H40" si="12">H5/$H$22</f>
        <v>7.6</v>
      </c>
      <c r="I25" s="39">
        <f t="shared" ref="I25:I40" si="13">I5/$I$22</f>
        <v>7.3</v>
      </c>
      <c r="J25" s="39">
        <f t="shared" ref="J25:J40" si="14">J5/$J$22</f>
        <v>2.8</v>
      </c>
      <c r="K25" s="39">
        <f t="shared" ref="K25:K40" si="15">K5/$K$22</f>
        <v>2.2999999999999998</v>
      </c>
      <c r="L25" s="39">
        <f t="shared" ref="L25:L40" si="16">L5/$L$22</f>
        <v>3.2</v>
      </c>
      <c r="M25" s="39">
        <f t="shared" ref="M25:M40" si="17">M5/$M$22</f>
        <v>3.5</v>
      </c>
      <c r="N25" s="6">
        <v>2900</v>
      </c>
      <c r="O25" s="39">
        <f t="shared" si="6"/>
        <v>4.9310344827586212E-3</v>
      </c>
      <c r="P25" s="39">
        <f t="shared" si="7"/>
        <v>4.9310344827586212E-3</v>
      </c>
      <c r="Q25" s="39">
        <f t="shared" si="8"/>
        <v>9.6551724137931025E-4</v>
      </c>
      <c r="R25" s="39">
        <f t="shared" si="9"/>
        <v>1.206896551724138E-3</v>
      </c>
    </row>
    <row r="26" spans="1:40" ht="15" x14ac:dyDescent="0.2">
      <c r="A26" s="20" t="s">
        <v>131</v>
      </c>
      <c r="B26" s="46">
        <v>998.23</v>
      </c>
      <c r="C26" s="20" t="s">
        <v>47</v>
      </c>
      <c r="D26" s="20">
        <v>4</v>
      </c>
      <c r="E26" s="39" t="s">
        <v>117</v>
      </c>
      <c r="F26" s="39">
        <f t="shared" si="10"/>
        <v>0.26400000000000001</v>
      </c>
      <c r="G26" s="39">
        <f t="shared" si="11"/>
        <v>0.219</v>
      </c>
      <c r="H26" s="39">
        <f t="shared" si="12"/>
        <v>0.18099999999999999</v>
      </c>
      <c r="I26" s="39">
        <f t="shared" si="13"/>
        <v>0.16599999999999998</v>
      </c>
      <c r="J26" s="39">
        <f t="shared" si="14"/>
        <v>7.2999999999999995E-2</v>
      </c>
      <c r="K26" s="39">
        <f t="shared" si="15"/>
        <v>0</v>
      </c>
      <c r="L26" s="39">
        <f t="shared" si="16"/>
        <v>0</v>
      </c>
      <c r="M26" s="39">
        <f t="shared" si="17"/>
        <v>0</v>
      </c>
      <c r="N26" s="3">
        <v>1.06</v>
      </c>
      <c r="O26" s="39">
        <f>MAX(F26:G26)/N26</f>
        <v>0.24905660377358491</v>
      </c>
      <c r="P26" s="39">
        <f t="shared" si="7"/>
        <v>0.20660377358490564</v>
      </c>
      <c r="Q26" s="39">
        <f t="shared" si="8"/>
        <v>6.8867924528301885E-2</v>
      </c>
      <c r="R26" s="39">
        <f t="shared" si="9"/>
        <v>0</v>
      </c>
    </row>
    <row r="27" spans="1:40" ht="15" x14ac:dyDescent="0.2">
      <c r="A27" s="53" t="s">
        <v>132</v>
      </c>
      <c r="B27" s="54">
        <f>B24*0.3</f>
        <v>40500</v>
      </c>
      <c r="C27" s="53" t="s">
        <v>133</v>
      </c>
      <c r="D27" s="20">
        <v>5</v>
      </c>
      <c r="E27" s="39" t="s">
        <v>118</v>
      </c>
      <c r="F27" s="39">
        <f t="shared" si="10"/>
        <v>6.4</v>
      </c>
      <c r="G27" s="39">
        <f t="shared" si="11"/>
        <v>6.51</v>
      </c>
      <c r="H27" s="39">
        <f t="shared" si="12"/>
        <v>1.78</v>
      </c>
      <c r="I27" s="39">
        <f t="shared" si="13"/>
        <v>4.24</v>
      </c>
      <c r="J27" s="39">
        <f t="shared" si="14"/>
        <v>1.8699999999999999</v>
      </c>
      <c r="K27" s="39">
        <f t="shared" si="15"/>
        <v>2.08</v>
      </c>
      <c r="L27" s="39">
        <f t="shared" si="16"/>
        <v>1.41</v>
      </c>
      <c r="M27" s="39">
        <f t="shared" si="17"/>
        <v>1.53</v>
      </c>
      <c r="N27" s="3">
        <v>6.3</v>
      </c>
      <c r="O27" s="39">
        <f>MAX(F27:G27)/N27</f>
        <v>1.0333333333333334</v>
      </c>
      <c r="P27" s="39">
        <f t="shared" si="7"/>
        <v>1.0333333333333334</v>
      </c>
      <c r="Q27" s="39">
        <f t="shared" si="8"/>
        <v>0.33015873015873021</v>
      </c>
      <c r="R27" s="39">
        <f t="shared" si="9"/>
        <v>0.24285714285714285</v>
      </c>
    </row>
    <row r="28" spans="1:40" ht="15" x14ac:dyDescent="0.2">
      <c r="A28" s="20" t="s">
        <v>134</v>
      </c>
      <c r="B28" s="46">
        <v>1720</v>
      </c>
      <c r="C28" s="20" t="s">
        <v>47</v>
      </c>
      <c r="D28" s="20">
        <v>6</v>
      </c>
      <c r="E28" s="39" t="s">
        <v>16</v>
      </c>
      <c r="F28" s="39">
        <f t="shared" si="10"/>
        <v>0</v>
      </c>
      <c r="G28" s="39">
        <f t="shared" si="11"/>
        <v>0</v>
      </c>
      <c r="H28" s="39">
        <f t="shared" si="12"/>
        <v>0</v>
      </c>
      <c r="I28" s="39">
        <f t="shared" si="13"/>
        <v>0</v>
      </c>
      <c r="J28" s="39">
        <f t="shared" si="14"/>
        <v>0</v>
      </c>
      <c r="K28" s="39">
        <f t="shared" si="15"/>
        <v>0</v>
      </c>
      <c r="L28" s="39">
        <f t="shared" si="16"/>
        <v>0</v>
      </c>
      <c r="M28" s="39">
        <f t="shared" si="17"/>
        <v>0</v>
      </c>
      <c r="N28" s="3">
        <v>1650</v>
      </c>
      <c r="O28" s="39">
        <f>MAX(F28:G28)/N28</f>
        <v>0</v>
      </c>
      <c r="P28" s="39">
        <f t="shared" si="7"/>
        <v>0</v>
      </c>
      <c r="Q28" s="39">
        <f t="shared" si="8"/>
        <v>0</v>
      </c>
      <c r="R28" s="39">
        <f t="shared" si="9"/>
        <v>0</v>
      </c>
    </row>
    <row r="29" spans="1:40" ht="15" x14ac:dyDescent="0.2">
      <c r="A29" s="104" t="s">
        <v>135</v>
      </c>
      <c r="B29" s="20">
        <v>797</v>
      </c>
      <c r="C29" s="46" t="s">
        <v>26</v>
      </c>
      <c r="D29" s="20">
        <v>7</v>
      </c>
      <c r="E29" s="39" t="s">
        <v>119</v>
      </c>
      <c r="F29" s="39">
        <f t="shared" si="10"/>
        <v>36.799999999999997</v>
      </c>
      <c r="G29" s="39">
        <f t="shared" si="11"/>
        <v>37.299999999999997</v>
      </c>
      <c r="H29" s="39">
        <f t="shared" si="12"/>
        <v>28.5</v>
      </c>
      <c r="I29" s="39">
        <f t="shared" si="13"/>
        <v>32.299999999999997</v>
      </c>
      <c r="J29" s="39">
        <f t="shared" si="14"/>
        <v>10.7</v>
      </c>
      <c r="K29" s="39">
        <f t="shared" si="15"/>
        <v>10.6</v>
      </c>
      <c r="L29" s="39">
        <f t="shared" si="16"/>
        <v>5.16</v>
      </c>
      <c r="M29" s="39">
        <f t="shared" si="17"/>
        <v>5.07</v>
      </c>
      <c r="N29" s="3">
        <v>34</v>
      </c>
      <c r="O29" s="39">
        <f t="shared" si="6"/>
        <v>1.0970588235294116</v>
      </c>
      <c r="P29" s="39">
        <f t="shared" si="7"/>
        <v>1.0970588235294116</v>
      </c>
      <c r="Q29" s="39">
        <f t="shared" si="8"/>
        <v>0.31470588235294117</v>
      </c>
      <c r="R29" s="39">
        <f t="shared" si="9"/>
        <v>0.15176470588235294</v>
      </c>
    </row>
    <row r="30" spans="1:40" ht="15" x14ac:dyDescent="0.2">
      <c r="A30" s="104"/>
      <c r="B30" s="20">
        <f>B29/1000</f>
        <v>0.79700000000000004</v>
      </c>
      <c r="C30" s="46" t="s">
        <v>136</v>
      </c>
      <c r="D30" s="20">
        <v>8</v>
      </c>
      <c r="E30" s="39" t="s">
        <v>120</v>
      </c>
      <c r="F30" s="39">
        <f t="shared" si="10"/>
        <v>0</v>
      </c>
      <c r="G30" s="39">
        <f t="shared" si="11"/>
        <v>0</v>
      </c>
      <c r="H30" s="39">
        <f t="shared" si="12"/>
        <v>0</v>
      </c>
      <c r="I30" s="39">
        <f t="shared" si="13"/>
        <v>0</v>
      </c>
      <c r="J30" s="39">
        <f t="shared" si="14"/>
        <v>0</v>
      </c>
      <c r="K30" s="39">
        <f t="shared" si="15"/>
        <v>0</v>
      </c>
      <c r="L30" s="39">
        <f t="shared" si="16"/>
        <v>0</v>
      </c>
      <c r="M30" s="39">
        <f t="shared" si="17"/>
        <v>0</v>
      </c>
      <c r="N30" s="3">
        <v>11900</v>
      </c>
      <c r="O30" s="39">
        <f t="shared" si="6"/>
        <v>0</v>
      </c>
      <c r="P30" s="39">
        <f t="shared" si="7"/>
        <v>0</v>
      </c>
      <c r="Q30" s="39">
        <f t="shared" si="8"/>
        <v>0</v>
      </c>
      <c r="R30" s="39">
        <f t="shared" si="9"/>
        <v>0</v>
      </c>
    </row>
    <row r="31" spans="1:40" ht="15" x14ac:dyDescent="0.2">
      <c r="A31" s="104"/>
      <c r="B31" s="20">
        <f>B30*1000</f>
        <v>797</v>
      </c>
      <c r="C31" s="46" t="s">
        <v>38</v>
      </c>
      <c r="D31" s="20">
        <v>9</v>
      </c>
      <c r="E31" s="39" t="s">
        <v>11</v>
      </c>
      <c r="F31" s="39">
        <f t="shared" si="10"/>
        <v>0</v>
      </c>
      <c r="G31" s="39">
        <f t="shared" si="11"/>
        <v>0</v>
      </c>
      <c r="H31" s="39">
        <f t="shared" si="12"/>
        <v>0</v>
      </c>
      <c r="I31" s="39">
        <f t="shared" si="13"/>
        <v>0</v>
      </c>
      <c r="J31" s="39">
        <f t="shared" si="14"/>
        <v>0</v>
      </c>
      <c r="K31" s="39">
        <f t="shared" si="15"/>
        <v>0</v>
      </c>
      <c r="L31" s="39">
        <f t="shared" si="16"/>
        <v>0</v>
      </c>
      <c r="M31" s="39">
        <f t="shared" si="17"/>
        <v>0</v>
      </c>
      <c r="N31" s="3">
        <v>37</v>
      </c>
      <c r="O31" s="39">
        <f t="shared" si="6"/>
        <v>0</v>
      </c>
      <c r="P31" s="39">
        <f t="shared" si="7"/>
        <v>0</v>
      </c>
      <c r="Q31" s="39">
        <f t="shared" si="8"/>
        <v>0</v>
      </c>
      <c r="R31" s="39">
        <f t="shared" si="9"/>
        <v>0</v>
      </c>
    </row>
    <row r="32" spans="1:40" ht="15" x14ac:dyDescent="0.2">
      <c r="A32" s="53" t="s">
        <v>137</v>
      </c>
      <c r="B32" s="53">
        <f>B31/B28</f>
        <v>0.46337209302325583</v>
      </c>
      <c r="C32" s="54" t="s">
        <v>138</v>
      </c>
      <c r="D32" s="20">
        <v>10</v>
      </c>
      <c r="E32" s="39" t="s">
        <v>121</v>
      </c>
      <c r="F32" s="39">
        <f t="shared" si="10"/>
        <v>0.24</v>
      </c>
      <c r="G32" s="39">
        <f t="shared" si="11"/>
        <v>0.22999999999999998</v>
      </c>
      <c r="H32" s="39">
        <f t="shared" si="12"/>
        <v>0.16999999999999998</v>
      </c>
      <c r="I32" s="39">
        <f t="shared" si="13"/>
        <v>0.16</v>
      </c>
      <c r="J32" s="39">
        <f t="shared" si="14"/>
        <v>0</v>
      </c>
      <c r="K32" s="39">
        <f t="shared" si="15"/>
        <v>0</v>
      </c>
      <c r="L32" s="39">
        <f t="shared" si="16"/>
        <v>0</v>
      </c>
      <c r="M32" s="39">
        <f t="shared" si="17"/>
        <v>0</v>
      </c>
      <c r="N32" s="3">
        <v>4.0999999999999996</v>
      </c>
      <c r="O32" s="39">
        <f t="shared" si="6"/>
        <v>5.8536585365853662E-2</v>
      </c>
      <c r="P32" s="39">
        <f t="shared" si="7"/>
        <v>5.6097560975609757E-2</v>
      </c>
      <c r="Q32" s="39">
        <f t="shared" si="8"/>
        <v>0</v>
      </c>
      <c r="R32" s="39">
        <f t="shared" si="9"/>
        <v>0</v>
      </c>
    </row>
    <row r="33" spans="1:18" ht="15" x14ac:dyDescent="0.2">
      <c r="A33" s="55" t="s">
        <v>139</v>
      </c>
      <c r="B33" s="56">
        <f>B32/B27</f>
        <v>1.1441286247487798E-5</v>
      </c>
      <c r="C33" s="55"/>
      <c r="D33" s="20">
        <v>11</v>
      </c>
      <c r="E33" s="39" t="s">
        <v>9</v>
      </c>
      <c r="F33" s="39">
        <f t="shared" si="10"/>
        <v>88.4</v>
      </c>
      <c r="G33" s="39">
        <f t="shared" si="11"/>
        <v>61.5</v>
      </c>
      <c r="H33" s="39">
        <f t="shared" si="12"/>
        <v>69.900000000000006</v>
      </c>
      <c r="I33" s="39">
        <f t="shared" si="13"/>
        <v>62.8</v>
      </c>
      <c r="J33" s="39">
        <f t="shared" si="14"/>
        <v>34.4</v>
      </c>
      <c r="K33" s="39">
        <f t="shared" si="15"/>
        <v>31.5</v>
      </c>
      <c r="L33" s="39">
        <f t="shared" si="16"/>
        <v>26.4</v>
      </c>
      <c r="M33" s="39">
        <f t="shared" si="17"/>
        <v>20.3</v>
      </c>
      <c r="N33" s="3">
        <v>14.4</v>
      </c>
      <c r="O33" s="39">
        <f t="shared" si="6"/>
        <v>6.1388888888888893</v>
      </c>
      <c r="P33" s="39">
        <f t="shared" si="7"/>
        <v>4.854166666666667</v>
      </c>
      <c r="Q33" s="39">
        <f t="shared" si="8"/>
        <v>2.3888888888888888</v>
      </c>
      <c r="R33" s="39">
        <f t="shared" si="9"/>
        <v>1.8333333333333333</v>
      </c>
    </row>
    <row r="34" spans="1:18" ht="15" x14ac:dyDescent="0.2">
      <c r="B34" s="57"/>
      <c r="D34" s="20">
        <v>12</v>
      </c>
      <c r="E34" s="39" t="s">
        <v>123</v>
      </c>
      <c r="F34" s="39">
        <f t="shared" si="10"/>
        <v>8.0000000000000002E-3</v>
      </c>
      <c r="G34" s="39">
        <f t="shared" si="11"/>
        <v>5.0999999999999995E-3</v>
      </c>
      <c r="H34" s="39">
        <f t="shared" si="12"/>
        <v>4.7000000000000002E-3</v>
      </c>
      <c r="I34" s="39">
        <f t="shared" si="13"/>
        <v>0</v>
      </c>
      <c r="J34" s="39">
        <f t="shared" si="14"/>
        <v>0</v>
      </c>
      <c r="K34" s="39">
        <f t="shared" si="15"/>
        <v>0</v>
      </c>
      <c r="L34" s="39">
        <f t="shared" si="16"/>
        <v>0</v>
      </c>
      <c r="M34" s="39">
        <f t="shared" si="17"/>
        <v>0</v>
      </c>
      <c r="N34" s="3">
        <v>0.19</v>
      </c>
      <c r="O34" s="39">
        <f t="shared" si="6"/>
        <v>4.2105263157894736E-2</v>
      </c>
      <c r="P34" s="39">
        <f t="shared" si="7"/>
        <v>2.6842105263157893E-2</v>
      </c>
      <c r="Q34" s="39">
        <f t="shared" si="8"/>
        <v>0</v>
      </c>
      <c r="R34" s="39">
        <f t="shared" si="9"/>
        <v>0</v>
      </c>
    </row>
    <row r="35" spans="1:18" ht="15" x14ac:dyDescent="0.2">
      <c r="D35" s="20">
        <v>13</v>
      </c>
      <c r="E35" s="39" t="s">
        <v>124</v>
      </c>
      <c r="F35" s="39">
        <f t="shared" si="10"/>
        <v>8.299999999999999E-2</v>
      </c>
      <c r="G35" s="39">
        <f t="shared" si="11"/>
        <v>0.10600000000000001</v>
      </c>
      <c r="H35" s="39">
        <f t="shared" si="12"/>
        <v>0</v>
      </c>
      <c r="I35" s="39">
        <f t="shared" si="13"/>
        <v>0</v>
      </c>
      <c r="J35" s="39">
        <f t="shared" si="14"/>
        <v>0</v>
      </c>
      <c r="K35" s="39">
        <f t="shared" si="15"/>
        <v>0</v>
      </c>
      <c r="L35" s="39">
        <f t="shared" si="16"/>
        <v>0</v>
      </c>
      <c r="M35" s="39">
        <f t="shared" si="17"/>
        <v>0</v>
      </c>
      <c r="N35" s="3">
        <v>6.5</v>
      </c>
      <c r="O35" s="39">
        <f t="shared" si="6"/>
        <v>1.6307692307692308E-2</v>
      </c>
      <c r="P35" s="39">
        <f t="shared" si="7"/>
        <v>1.6307692307692308E-2</v>
      </c>
      <c r="Q35" s="39">
        <f t="shared" si="8"/>
        <v>0</v>
      </c>
      <c r="R35" s="39">
        <f t="shared" si="9"/>
        <v>0</v>
      </c>
    </row>
    <row r="36" spans="1:18" ht="15" x14ac:dyDescent="0.15">
      <c r="B36" s="58"/>
      <c r="D36" s="20">
        <v>14</v>
      </c>
      <c r="E36" s="39" t="s">
        <v>125</v>
      </c>
      <c r="F36" s="39">
        <f t="shared" si="10"/>
        <v>2.7800000000000002</v>
      </c>
      <c r="G36" s="39">
        <f t="shared" si="11"/>
        <v>2.4699999999999998</v>
      </c>
      <c r="H36" s="39">
        <f t="shared" si="12"/>
        <v>1.69</v>
      </c>
      <c r="I36" s="39">
        <f t="shared" si="13"/>
        <v>1.9100000000000001</v>
      </c>
      <c r="J36" s="39">
        <f t="shared" si="14"/>
        <v>0.36699999999999999</v>
      </c>
      <c r="K36" s="39">
        <f t="shared" si="15"/>
        <v>0.65599999999999992</v>
      </c>
      <c r="L36" s="39">
        <f t="shared" si="16"/>
        <v>2.02</v>
      </c>
      <c r="M36" s="39">
        <f t="shared" si="17"/>
        <v>1.01</v>
      </c>
      <c r="N36" s="3">
        <v>20</v>
      </c>
      <c r="O36" s="39">
        <f>MAX(F36:G36)/N36</f>
        <v>0.13900000000000001</v>
      </c>
      <c r="P36" s="39">
        <f t="shared" si="7"/>
        <v>0.12349999999999998</v>
      </c>
      <c r="Q36" s="39">
        <f t="shared" si="8"/>
        <v>3.2799999999999996E-2</v>
      </c>
      <c r="R36" s="39">
        <f t="shared" si="9"/>
        <v>0.10100000000000001</v>
      </c>
    </row>
    <row r="37" spans="1:18" ht="15" x14ac:dyDescent="0.2">
      <c r="D37" s="20">
        <v>15</v>
      </c>
      <c r="E37" s="39" t="s">
        <v>126</v>
      </c>
      <c r="F37" s="39">
        <f t="shared" si="10"/>
        <v>0.13600000000000001</v>
      </c>
      <c r="G37" s="39">
        <f t="shared" si="11"/>
        <v>0.154</v>
      </c>
      <c r="H37" s="39">
        <f t="shared" si="12"/>
        <v>0</v>
      </c>
      <c r="I37" s="39">
        <f t="shared" si="13"/>
        <v>0</v>
      </c>
      <c r="J37" s="39">
        <f t="shared" si="14"/>
        <v>0</v>
      </c>
      <c r="K37" s="39">
        <f t="shared" si="15"/>
        <v>0</v>
      </c>
      <c r="L37" s="39">
        <f t="shared" si="16"/>
        <v>0</v>
      </c>
      <c r="M37" s="39">
        <f t="shared" si="17"/>
        <v>0</v>
      </c>
      <c r="N37" s="3">
        <v>2.4</v>
      </c>
      <c r="O37" s="39">
        <f t="shared" si="6"/>
        <v>6.4166666666666664E-2</v>
      </c>
      <c r="P37" s="39">
        <f t="shared" si="7"/>
        <v>6.4166666666666664E-2</v>
      </c>
      <c r="Q37" s="39">
        <f t="shared" si="8"/>
        <v>0</v>
      </c>
      <c r="R37" s="39">
        <f t="shared" si="9"/>
        <v>0</v>
      </c>
    </row>
    <row r="38" spans="1:18" ht="15" x14ac:dyDescent="0.2">
      <c r="D38" s="20">
        <v>16</v>
      </c>
      <c r="E38" s="39" t="s">
        <v>127</v>
      </c>
      <c r="F38" s="39">
        <f t="shared" si="10"/>
        <v>0.255</v>
      </c>
      <c r="G38" s="39">
        <f t="shared" si="11"/>
        <v>0.23900000000000002</v>
      </c>
      <c r="H38" s="39">
        <f t="shared" si="12"/>
        <v>0.152</v>
      </c>
      <c r="I38" s="39">
        <f t="shared" si="13"/>
        <v>0.14199999999999999</v>
      </c>
      <c r="J38" s="39">
        <f t="shared" si="14"/>
        <v>0</v>
      </c>
      <c r="K38" s="39">
        <f t="shared" si="15"/>
        <v>0</v>
      </c>
      <c r="L38" s="39">
        <f t="shared" si="16"/>
        <v>0</v>
      </c>
      <c r="M38" s="39">
        <f t="shared" si="17"/>
        <v>0</v>
      </c>
      <c r="N38" s="3">
        <v>5.6</v>
      </c>
      <c r="O38" s="39">
        <f t="shared" si="6"/>
        <v>4.553571428571429E-2</v>
      </c>
      <c r="P38" s="39">
        <f t="shared" si="7"/>
        <v>4.2678571428571434E-2</v>
      </c>
      <c r="Q38" s="39">
        <f t="shared" si="8"/>
        <v>0</v>
      </c>
      <c r="R38" s="39">
        <f t="shared" si="9"/>
        <v>0</v>
      </c>
    </row>
    <row r="39" spans="1:18" ht="15" x14ac:dyDescent="0.2">
      <c r="D39" s="20">
        <v>17</v>
      </c>
      <c r="E39" s="39" t="s">
        <v>1</v>
      </c>
      <c r="F39" s="39">
        <f t="shared" si="10"/>
        <v>79.7</v>
      </c>
      <c r="G39" s="39">
        <f t="shared" si="11"/>
        <v>0</v>
      </c>
      <c r="H39" s="39">
        <f t="shared" si="12"/>
        <v>0</v>
      </c>
      <c r="I39" s="39">
        <f t="shared" si="13"/>
        <v>0</v>
      </c>
      <c r="J39" s="39">
        <f t="shared" si="14"/>
        <v>0</v>
      </c>
      <c r="K39" s="39">
        <f t="shared" si="15"/>
        <v>0</v>
      </c>
      <c r="L39" s="39">
        <f t="shared" si="16"/>
        <v>0</v>
      </c>
      <c r="M39" s="39">
        <f t="shared" si="17"/>
        <v>0</v>
      </c>
      <c r="N39" s="3">
        <v>28</v>
      </c>
      <c r="O39" s="39">
        <f>MAX(F39:G39)/N39</f>
        <v>2.8464285714285715</v>
      </c>
      <c r="P39" s="39">
        <f>MAX(G39:H39)/N39</f>
        <v>0</v>
      </c>
      <c r="Q39" s="39">
        <f>MAX(J39:K39)/N39</f>
        <v>0</v>
      </c>
      <c r="R39" s="39">
        <f>MAX(L39:M39)/N39</f>
        <v>0</v>
      </c>
    </row>
    <row r="40" spans="1:18" ht="15" x14ac:dyDescent="0.2">
      <c r="D40" s="20">
        <v>18</v>
      </c>
      <c r="E40" s="39" t="s">
        <v>0</v>
      </c>
      <c r="F40" s="39">
        <f t="shared" si="10"/>
        <v>0</v>
      </c>
      <c r="G40" s="39">
        <f t="shared" si="11"/>
        <v>0</v>
      </c>
      <c r="H40" s="39">
        <f t="shared" si="12"/>
        <v>0</v>
      </c>
      <c r="I40" s="39">
        <f t="shared" si="13"/>
        <v>0</v>
      </c>
      <c r="J40" s="39">
        <f t="shared" si="14"/>
        <v>0</v>
      </c>
      <c r="K40" s="39">
        <f t="shared" si="15"/>
        <v>0</v>
      </c>
      <c r="L40" s="39">
        <f t="shared" si="16"/>
        <v>0</v>
      </c>
      <c r="M40" s="39">
        <f t="shared" si="17"/>
        <v>0</v>
      </c>
      <c r="N40" s="3">
        <v>170</v>
      </c>
      <c r="O40" s="39">
        <f>F40/$N$40</f>
        <v>0</v>
      </c>
      <c r="P40" s="39">
        <f t="shared" ref="P40:R40" si="18">G40/$N$40</f>
        <v>0</v>
      </c>
      <c r="Q40" s="39">
        <f t="shared" si="18"/>
        <v>0</v>
      </c>
      <c r="R40" s="39">
        <f t="shared" si="18"/>
        <v>0</v>
      </c>
    </row>
    <row r="41" spans="1:18" ht="16" x14ac:dyDescent="0.2">
      <c r="E41" s="95" t="s">
        <v>99</v>
      </c>
      <c r="F41" s="97" t="s">
        <v>128</v>
      </c>
      <c r="G41" s="98"/>
      <c r="H41" s="98"/>
      <c r="I41" s="98"/>
      <c r="J41" s="98"/>
      <c r="K41" s="98"/>
      <c r="L41" s="98"/>
      <c r="M41" s="99"/>
      <c r="N41" s="59" t="s">
        <v>104</v>
      </c>
      <c r="O41" s="47" t="s">
        <v>105</v>
      </c>
      <c r="P41" s="48" t="s">
        <v>106</v>
      </c>
      <c r="Q41" s="48" t="s">
        <v>107</v>
      </c>
      <c r="R41" s="49" t="s">
        <v>108</v>
      </c>
    </row>
    <row r="42" spans="1:18" ht="15" x14ac:dyDescent="0.2">
      <c r="E42" s="96"/>
      <c r="F42" s="50">
        <v>20</v>
      </c>
      <c r="G42" s="51">
        <v>20</v>
      </c>
      <c r="H42" s="51">
        <v>20</v>
      </c>
      <c r="I42" s="51">
        <v>20</v>
      </c>
      <c r="J42" s="51">
        <v>20</v>
      </c>
      <c r="K42" s="51">
        <v>20</v>
      </c>
      <c r="L42" s="51">
        <v>20</v>
      </c>
      <c r="M42" s="52">
        <v>20</v>
      </c>
      <c r="N42" s="60" t="s">
        <v>113</v>
      </c>
      <c r="O42" s="47" t="s">
        <v>27</v>
      </c>
      <c r="P42" s="48" t="s">
        <v>27</v>
      </c>
      <c r="Q42" s="48" t="s">
        <v>27</v>
      </c>
      <c r="R42" s="49" t="s">
        <v>27</v>
      </c>
    </row>
    <row r="43" spans="1:18" ht="15" x14ac:dyDescent="0.2">
      <c r="D43" s="20">
        <v>1</v>
      </c>
      <c r="E43" s="39" t="s">
        <v>114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f>L3/$L$42</f>
        <v>3.3999999999999997E-4</v>
      </c>
      <c r="M43" s="39">
        <v>0</v>
      </c>
      <c r="N43" s="7">
        <v>5.7000000000000002E-2</v>
      </c>
      <c r="O43" s="39">
        <f>MAX(F43:G43)/N43</f>
        <v>0</v>
      </c>
      <c r="P43" s="39">
        <f>MAX(G43:H43)/N43</f>
        <v>0</v>
      </c>
      <c r="Q43" s="39">
        <f>MAX(J43:K43)/N43</f>
        <v>0</v>
      </c>
      <c r="R43" s="39">
        <f>MAX(L43:M43)/N43</f>
        <v>5.9649122807017537E-3</v>
      </c>
    </row>
    <row r="44" spans="1:18" ht="15" x14ac:dyDescent="0.2">
      <c r="D44" s="20">
        <v>2</v>
      </c>
      <c r="E44" s="39" t="s">
        <v>115</v>
      </c>
      <c r="F44" s="39">
        <f>F4/$F$42</f>
        <v>0.46200000000000002</v>
      </c>
      <c r="G44" s="39">
        <f>G4/$G$42</f>
        <v>0.86999999999999988</v>
      </c>
      <c r="H44" s="39">
        <f>H4/$H$42</f>
        <v>0.27500000000000002</v>
      </c>
      <c r="I44" s="39">
        <f>I4/$I$42</f>
        <v>0.34100000000000003</v>
      </c>
      <c r="J44" s="39">
        <f>J4/$J$42</f>
        <v>9.7000000000000003E-2</v>
      </c>
      <c r="K44" s="39">
        <f>K4/$K$42</f>
        <v>0.10149999999999999</v>
      </c>
      <c r="L44" s="39">
        <f>L4/$L$42</f>
        <v>0.40449999999999997</v>
      </c>
      <c r="M44" s="39">
        <f>M4/$M$42</f>
        <v>5.6499999999999995E-2</v>
      </c>
      <c r="N44" s="7">
        <v>114.7</v>
      </c>
      <c r="O44" s="39">
        <f t="shared" ref="O44:O45" si="19">MAX(F44:G44)/N44</f>
        <v>7.585004359197906E-3</v>
      </c>
      <c r="P44" s="39">
        <f t="shared" ref="P44:P60" si="20">MAX(G44:H44)/N44</f>
        <v>7.585004359197906E-3</v>
      </c>
      <c r="Q44" s="39">
        <f t="shared" ref="Q44:Q60" si="21">MAX(J44:K44)/N44</f>
        <v>8.849171752397558E-4</v>
      </c>
      <c r="R44" s="39">
        <f t="shared" ref="R44:R60" si="22">MAX(L44:M44)/N44</f>
        <v>3.526591107236268E-3</v>
      </c>
    </row>
    <row r="45" spans="1:18" ht="15" x14ac:dyDescent="0.2">
      <c r="D45" s="20">
        <v>3</v>
      </c>
      <c r="E45" s="39" t="s">
        <v>116</v>
      </c>
      <c r="F45" s="39">
        <f t="shared" ref="F45:F60" si="23">F5/$F$42</f>
        <v>4.75</v>
      </c>
      <c r="G45" s="39">
        <f t="shared" ref="G45:G60" si="24">G5/$G$42</f>
        <v>7.15</v>
      </c>
      <c r="H45" s="39">
        <f t="shared" ref="H45:H60" si="25">H5/$H$42</f>
        <v>3.8</v>
      </c>
      <c r="I45" s="39">
        <f t="shared" ref="I45:I60" si="26">I5/$I$42</f>
        <v>3.65</v>
      </c>
      <c r="J45" s="39">
        <f t="shared" ref="J45:J60" si="27">J5/$J$42</f>
        <v>1.4</v>
      </c>
      <c r="K45" s="39">
        <f t="shared" ref="K45:K60" si="28">K5/$K$42</f>
        <v>1.1499999999999999</v>
      </c>
      <c r="L45" s="39">
        <f t="shared" ref="L45:L60" si="29">L5/$L$42</f>
        <v>1.6</v>
      </c>
      <c r="M45" s="39">
        <f t="shared" ref="M45:M60" si="30">M5/$M$42</f>
        <v>1.75</v>
      </c>
      <c r="N45" s="6">
        <v>2900</v>
      </c>
      <c r="O45" s="39">
        <f t="shared" si="19"/>
        <v>2.4655172413793106E-3</v>
      </c>
      <c r="P45" s="39">
        <f t="shared" si="20"/>
        <v>2.4655172413793106E-3</v>
      </c>
      <c r="Q45" s="39">
        <f t="shared" si="21"/>
        <v>4.8275862068965512E-4</v>
      </c>
      <c r="R45" s="39">
        <f t="shared" si="22"/>
        <v>6.03448275862069E-4</v>
      </c>
    </row>
    <row r="46" spans="1:18" ht="15" x14ac:dyDescent="0.2">
      <c r="D46" s="20">
        <v>4</v>
      </c>
      <c r="E46" s="39" t="s">
        <v>117</v>
      </c>
      <c r="F46" s="39">
        <f t="shared" si="23"/>
        <v>0.13200000000000001</v>
      </c>
      <c r="G46" s="39">
        <f t="shared" si="24"/>
        <v>0.1095</v>
      </c>
      <c r="H46" s="39">
        <f t="shared" si="25"/>
        <v>9.0499999999999997E-2</v>
      </c>
      <c r="I46" s="39">
        <f t="shared" si="26"/>
        <v>8.299999999999999E-2</v>
      </c>
      <c r="J46" s="39">
        <f t="shared" si="27"/>
        <v>3.6499999999999998E-2</v>
      </c>
      <c r="K46" s="39">
        <f t="shared" si="28"/>
        <v>0</v>
      </c>
      <c r="L46" s="39">
        <f t="shared" si="29"/>
        <v>0</v>
      </c>
      <c r="M46" s="39">
        <f t="shared" si="30"/>
        <v>0</v>
      </c>
      <c r="N46" s="3">
        <v>1.06</v>
      </c>
      <c r="O46" s="39">
        <f>MAX(F46:G46)/N46</f>
        <v>0.12452830188679245</v>
      </c>
      <c r="P46" s="39">
        <f t="shared" si="20"/>
        <v>0.10330188679245282</v>
      </c>
      <c r="Q46" s="39">
        <f t="shared" si="21"/>
        <v>3.4433962264150943E-2</v>
      </c>
      <c r="R46" s="39">
        <f t="shared" si="22"/>
        <v>0</v>
      </c>
    </row>
    <row r="47" spans="1:18" ht="15" x14ac:dyDescent="0.2">
      <c r="D47" s="20">
        <v>5</v>
      </c>
      <c r="E47" s="39" t="s">
        <v>118</v>
      </c>
      <c r="F47" s="39">
        <f t="shared" si="23"/>
        <v>3.2</v>
      </c>
      <c r="G47" s="39">
        <f t="shared" si="24"/>
        <v>3.2549999999999999</v>
      </c>
      <c r="H47" s="39">
        <f t="shared" si="25"/>
        <v>0.89</v>
      </c>
      <c r="I47" s="39">
        <f t="shared" si="26"/>
        <v>2.12</v>
      </c>
      <c r="J47" s="39">
        <f t="shared" si="27"/>
        <v>0.93499999999999994</v>
      </c>
      <c r="K47" s="39">
        <f t="shared" si="28"/>
        <v>1.04</v>
      </c>
      <c r="L47" s="39">
        <f t="shared" si="29"/>
        <v>0.70499999999999996</v>
      </c>
      <c r="M47" s="39">
        <f t="shared" si="30"/>
        <v>0.76500000000000001</v>
      </c>
      <c r="N47" s="3">
        <v>6.3</v>
      </c>
      <c r="O47" s="39">
        <f>MAX(F47:G47)/N47</f>
        <v>0.51666666666666672</v>
      </c>
      <c r="P47" s="39">
        <f t="shared" si="20"/>
        <v>0.51666666666666672</v>
      </c>
      <c r="Q47" s="39">
        <f t="shared" si="21"/>
        <v>0.1650793650793651</v>
      </c>
      <c r="R47" s="39">
        <f t="shared" si="22"/>
        <v>0.12142857142857143</v>
      </c>
    </row>
    <row r="48" spans="1:18" ht="15" x14ac:dyDescent="0.2">
      <c r="D48" s="20">
        <v>6</v>
      </c>
      <c r="E48" s="39" t="s">
        <v>16</v>
      </c>
      <c r="F48" s="39">
        <f t="shared" si="23"/>
        <v>0</v>
      </c>
      <c r="G48" s="39">
        <f t="shared" si="24"/>
        <v>0</v>
      </c>
      <c r="H48" s="39">
        <f t="shared" si="25"/>
        <v>0</v>
      </c>
      <c r="I48" s="39">
        <f t="shared" si="26"/>
        <v>0</v>
      </c>
      <c r="J48" s="39">
        <f t="shared" si="27"/>
        <v>0</v>
      </c>
      <c r="K48" s="39">
        <f t="shared" si="28"/>
        <v>0</v>
      </c>
      <c r="L48" s="39">
        <f t="shared" si="29"/>
        <v>0</v>
      </c>
      <c r="M48" s="39">
        <f t="shared" si="30"/>
        <v>0</v>
      </c>
      <c r="N48" s="3">
        <v>1650</v>
      </c>
      <c r="O48" s="39">
        <f>MAX(F48:G48)/N48</f>
        <v>0</v>
      </c>
      <c r="P48" s="39">
        <f t="shared" si="20"/>
        <v>0</v>
      </c>
      <c r="Q48" s="39">
        <f t="shared" si="21"/>
        <v>0</v>
      </c>
      <c r="R48" s="39">
        <f t="shared" si="22"/>
        <v>0</v>
      </c>
    </row>
    <row r="49" spans="4:18" ht="15" x14ac:dyDescent="0.2">
      <c r="D49" s="20">
        <v>7</v>
      </c>
      <c r="E49" s="39" t="s">
        <v>119</v>
      </c>
      <c r="F49" s="39">
        <f t="shared" si="23"/>
        <v>18.399999999999999</v>
      </c>
      <c r="G49" s="39">
        <f t="shared" si="24"/>
        <v>18.649999999999999</v>
      </c>
      <c r="H49" s="39">
        <f t="shared" si="25"/>
        <v>14.25</v>
      </c>
      <c r="I49" s="39">
        <f t="shared" si="26"/>
        <v>16.149999999999999</v>
      </c>
      <c r="J49" s="39">
        <f t="shared" si="27"/>
        <v>5.35</v>
      </c>
      <c r="K49" s="39">
        <f t="shared" si="28"/>
        <v>5.3</v>
      </c>
      <c r="L49" s="39">
        <f t="shared" si="29"/>
        <v>2.58</v>
      </c>
      <c r="M49" s="39">
        <f t="shared" si="30"/>
        <v>2.5350000000000001</v>
      </c>
      <c r="N49" s="3">
        <v>34</v>
      </c>
      <c r="O49" s="39">
        <f t="shared" ref="O49:O60" si="31">MAX(F49:G49)/N49</f>
        <v>0.54852941176470582</v>
      </c>
      <c r="P49" s="39">
        <f t="shared" si="20"/>
        <v>0.54852941176470582</v>
      </c>
      <c r="Q49" s="39">
        <f t="shared" si="21"/>
        <v>0.15735294117647058</v>
      </c>
      <c r="R49" s="39">
        <f t="shared" si="22"/>
        <v>7.588235294117647E-2</v>
      </c>
    </row>
    <row r="50" spans="4:18" ht="15" x14ac:dyDescent="0.2">
      <c r="D50" s="20">
        <v>8</v>
      </c>
      <c r="E50" s="39" t="s">
        <v>120</v>
      </c>
      <c r="F50" s="39">
        <f t="shared" si="23"/>
        <v>0</v>
      </c>
      <c r="G50" s="39">
        <f t="shared" si="24"/>
        <v>0</v>
      </c>
      <c r="H50" s="39">
        <f t="shared" si="25"/>
        <v>0</v>
      </c>
      <c r="I50" s="39">
        <f t="shared" si="26"/>
        <v>0</v>
      </c>
      <c r="J50" s="39">
        <f t="shared" si="27"/>
        <v>0</v>
      </c>
      <c r="K50" s="39">
        <f t="shared" si="28"/>
        <v>0</v>
      </c>
      <c r="L50" s="39">
        <f t="shared" si="29"/>
        <v>0</v>
      </c>
      <c r="M50" s="39">
        <f t="shared" si="30"/>
        <v>0</v>
      </c>
      <c r="N50" s="3">
        <v>11900</v>
      </c>
      <c r="O50" s="39">
        <f t="shared" si="31"/>
        <v>0</v>
      </c>
      <c r="P50" s="39">
        <f t="shared" si="20"/>
        <v>0</v>
      </c>
      <c r="Q50" s="39">
        <f t="shared" si="21"/>
        <v>0</v>
      </c>
      <c r="R50" s="39">
        <f t="shared" si="22"/>
        <v>0</v>
      </c>
    </row>
    <row r="51" spans="4:18" ht="15" x14ac:dyDescent="0.2">
      <c r="D51" s="20">
        <v>9</v>
      </c>
      <c r="E51" s="39" t="s">
        <v>11</v>
      </c>
      <c r="F51" s="39">
        <f t="shared" si="23"/>
        <v>0</v>
      </c>
      <c r="G51" s="39">
        <f t="shared" si="24"/>
        <v>0</v>
      </c>
      <c r="H51" s="39">
        <f t="shared" si="25"/>
        <v>0</v>
      </c>
      <c r="I51" s="39">
        <f t="shared" si="26"/>
        <v>0</v>
      </c>
      <c r="J51" s="39">
        <f t="shared" si="27"/>
        <v>0</v>
      </c>
      <c r="K51" s="39">
        <f t="shared" si="28"/>
        <v>0</v>
      </c>
      <c r="L51" s="39">
        <f t="shared" si="29"/>
        <v>0</v>
      </c>
      <c r="M51" s="39">
        <f t="shared" si="30"/>
        <v>0</v>
      </c>
      <c r="N51" s="3">
        <v>37</v>
      </c>
      <c r="O51" s="39">
        <f t="shared" si="31"/>
        <v>0</v>
      </c>
      <c r="P51" s="39">
        <f t="shared" si="20"/>
        <v>0</v>
      </c>
      <c r="Q51" s="39">
        <f t="shared" si="21"/>
        <v>0</v>
      </c>
      <c r="R51" s="39">
        <f t="shared" si="22"/>
        <v>0</v>
      </c>
    </row>
    <row r="52" spans="4:18" ht="15" x14ac:dyDescent="0.2">
      <c r="D52" s="20">
        <v>10</v>
      </c>
      <c r="E52" s="39" t="s">
        <v>121</v>
      </c>
      <c r="F52" s="39">
        <f t="shared" si="23"/>
        <v>0.12</v>
      </c>
      <c r="G52" s="39">
        <f t="shared" si="24"/>
        <v>0.11499999999999999</v>
      </c>
      <c r="H52" s="39">
        <f t="shared" si="25"/>
        <v>8.4999999999999992E-2</v>
      </c>
      <c r="I52" s="39">
        <f t="shared" si="26"/>
        <v>0.08</v>
      </c>
      <c r="J52" s="39">
        <f t="shared" si="27"/>
        <v>0</v>
      </c>
      <c r="K52" s="39">
        <f t="shared" si="28"/>
        <v>0</v>
      </c>
      <c r="L52" s="39">
        <f t="shared" si="29"/>
        <v>0</v>
      </c>
      <c r="M52" s="39">
        <f t="shared" si="30"/>
        <v>0</v>
      </c>
      <c r="N52" s="3">
        <v>4.0999999999999996</v>
      </c>
      <c r="O52" s="39">
        <f t="shared" si="31"/>
        <v>2.9268292682926831E-2</v>
      </c>
      <c r="P52" s="39">
        <f t="shared" si="20"/>
        <v>2.8048780487804879E-2</v>
      </c>
      <c r="Q52" s="39">
        <f t="shared" si="21"/>
        <v>0</v>
      </c>
      <c r="R52" s="39">
        <f t="shared" si="22"/>
        <v>0</v>
      </c>
    </row>
    <row r="53" spans="4:18" ht="15" x14ac:dyDescent="0.2">
      <c r="D53" s="20">
        <v>11</v>
      </c>
      <c r="E53" s="39" t="s">
        <v>122</v>
      </c>
      <c r="F53" s="39">
        <f t="shared" si="23"/>
        <v>44.2</v>
      </c>
      <c r="G53" s="39">
        <f t="shared" si="24"/>
        <v>30.75</v>
      </c>
      <c r="H53" s="39">
        <f t="shared" si="25"/>
        <v>34.950000000000003</v>
      </c>
      <c r="I53" s="39">
        <f t="shared" si="26"/>
        <v>31.4</v>
      </c>
      <c r="J53" s="39">
        <f t="shared" si="27"/>
        <v>17.2</v>
      </c>
      <c r="K53" s="39">
        <f t="shared" si="28"/>
        <v>15.75</v>
      </c>
      <c r="L53" s="39">
        <f t="shared" si="29"/>
        <v>13.2</v>
      </c>
      <c r="M53" s="39">
        <f t="shared" si="30"/>
        <v>10.15</v>
      </c>
      <c r="N53" s="3">
        <v>14.4</v>
      </c>
      <c r="O53" s="39">
        <f>MAX(F53:G53)/N53</f>
        <v>3.0694444444444446</v>
      </c>
      <c r="P53" s="39">
        <f t="shared" si="20"/>
        <v>2.4270833333333335</v>
      </c>
      <c r="Q53" s="39">
        <f t="shared" si="21"/>
        <v>1.1944444444444444</v>
      </c>
      <c r="R53" s="39">
        <f t="shared" si="22"/>
        <v>0.91666666666666663</v>
      </c>
    </row>
    <row r="54" spans="4:18" ht="15" x14ac:dyDescent="0.2">
      <c r="D54" s="20">
        <v>12</v>
      </c>
      <c r="E54" s="39" t="s">
        <v>123</v>
      </c>
      <c r="F54" s="39">
        <f t="shared" si="23"/>
        <v>4.0000000000000001E-3</v>
      </c>
      <c r="G54" s="39">
        <f t="shared" si="24"/>
        <v>2.5499999999999997E-3</v>
      </c>
      <c r="H54" s="39">
        <f t="shared" si="25"/>
        <v>2.3500000000000001E-3</v>
      </c>
      <c r="I54" s="39">
        <f t="shared" si="26"/>
        <v>0</v>
      </c>
      <c r="J54" s="39">
        <f t="shared" si="27"/>
        <v>0</v>
      </c>
      <c r="K54" s="39">
        <f t="shared" si="28"/>
        <v>0</v>
      </c>
      <c r="L54" s="39">
        <f t="shared" si="29"/>
        <v>0</v>
      </c>
      <c r="M54" s="39">
        <f t="shared" si="30"/>
        <v>0</v>
      </c>
      <c r="N54" s="3">
        <v>0.19</v>
      </c>
      <c r="O54" s="39">
        <f t="shared" si="31"/>
        <v>2.1052631578947368E-2</v>
      </c>
      <c r="P54" s="39">
        <f t="shared" si="20"/>
        <v>1.3421052631578946E-2</v>
      </c>
      <c r="Q54" s="39">
        <f t="shared" si="21"/>
        <v>0</v>
      </c>
      <c r="R54" s="39">
        <f t="shared" si="22"/>
        <v>0</v>
      </c>
    </row>
    <row r="55" spans="4:18" ht="15" x14ac:dyDescent="0.2">
      <c r="D55" s="20">
        <v>13</v>
      </c>
      <c r="E55" s="39" t="s">
        <v>124</v>
      </c>
      <c r="F55" s="39">
        <f t="shared" si="23"/>
        <v>4.1499999999999995E-2</v>
      </c>
      <c r="G55" s="39">
        <f t="shared" si="24"/>
        <v>5.3000000000000005E-2</v>
      </c>
      <c r="H55" s="39">
        <f t="shared" si="25"/>
        <v>0</v>
      </c>
      <c r="I55" s="39">
        <f t="shared" si="26"/>
        <v>0</v>
      </c>
      <c r="J55" s="39">
        <f t="shared" si="27"/>
        <v>0</v>
      </c>
      <c r="K55" s="39">
        <f t="shared" si="28"/>
        <v>0</v>
      </c>
      <c r="L55" s="39">
        <f t="shared" si="29"/>
        <v>0</v>
      </c>
      <c r="M55" s="39">
        <f t="shared" si="30"/>
        <v>0</v>
      </c>
      <c r="N55" s="3">
        <v>6.5</v>
      </c>
      <c r="O55" s="39">
        <f t="shared" si="31"/>
        <v>8.1538461538461539E-3</v>
      </c>
      <c r="P55" s="39">
        <f t="shared" si="20"/>
        <v>8.1538461538461539E-3</v>
      </c>
      <c r="Q55" s="39">
        <f t="shared" si="21"/>
        <v>0</v>
      </c>
      <c r="R55" s="39">
        <f t="shared" si="22"/>
        <v>0</v>
      </c>
    </row>
    <row r="56" spans="4:18" ht="15" x14ac:dyDescent="0.2">
      <c r="D56" s="20">
        <v>14</v>
      </c>
      <c r="E56" s="39" t="s">
        <v>125</v>
      </c>
      <c r="F56" s="39">
        <f t="shared" si="23"/>
        <v>1.3900000000000001</v>
      </c>
      <c r="G56" s="39">
        <f t="shared" si="24"/>
        <v>1.2349999999999999</v>
      </c>
      <c r="H56" s="39">
        <f t="shared" si="25"/>
        <v>0.84499999999999997</v>
      </c>
      <c r="I56" s="39">
        <f t="shared" si="26"/>
        <v>0.95500000000000007</v>
      </c>
      <c r="J56" s="39">
        <f t="shared" si="27"/>
        <v>0.1835</v>
      </c>
      <c r="K56" s="39">
        <f t="shared" si="28"/>
        <v>0.32799999999999996</v>
      </c>
      <c r="L56" s="39">
        <f t="shared" si="29"/>
        <v>1.01</v>
      </c>
      <c r="M56" s="39">
        <f t="shared" si="30"/>
        <v>0.505</v>
      </c>
      <c r="N56" s="3">
        <v>20</v>
      </c>
      <c r="O56" s="39">
        <f t="shared" si="31"/>
        <v>6.9500000000000006E-2</v>
      </c>
      <c r="P56" s="39">
        <f t="shared" si="20"/>
        <v>6.1749999999999992E-2</v>
      </c>
      <c r="Q56" s="39">
        <f t="shared" si="21"/>
        <v>1.6399999999999998E-2</v>
      </c>
      <c r="R56" s="39">
        <f t="shared" si="22"/>
        <v>5.0500000000000003E-2</v>
      </c>
    </row>
    <row r="57" spans="4:18" ht="15" x14ac:dyDescent="0.2">
      <c r="D57" s="20">
        <v>15</v>
      </c>
      <c r="E57" s="39" t="s">
        <v>126</v>
      </c>
      <c r="F57" s="39">
        <f t="shared" si="23"/>
        <v>6.8000000000000005E-2</v>
      </c>
      <c r="G57" s="39">
        <f t="shared" si="24"/>
        <v>7.6999999999999999E-2</v>
      </c>
      <c r="H57" s="39">
        <f t="shared" si="25"/>
        <v>0</v>
      </c>
      <c r="I57" s="39">
        <f t="shared" si="26"/>
        <v>0</v>
      </c>
      <c r="J57" s="39">
        <f t="shared" si="27"/>
        <v>0</v>
      </c>
      <c r="K57" s="39">
        <f t="shared" si="28"/>
        <v>0</v>
      </c>
      <c r="L57" s="39">
        <f t="shared" si="29"/>
        <v>0</v>
      </c>
      <c r="M57" s="39">
        <f t="shared" si="30"/>
        <v>0</v>
      </c>
      <c r="N57" s="3">
        <v>2.4</v>
      </c>
      <c r="O57" s="39">
        <f t="shared" si="31"/>
        <v>3.2083333333333332E-2</v>
      </c>
      <c r="P57" s="39">
        <f t="shared" si="20"/>
        <v>3.2083333333333332E-2</v>
      </c>
      <c r="Q57" s="39">
        <f t="shared" si="21"/>
        <v>0</v>
      </c>
      <c r="R57" s="39">
        <f t="shared" si="22"/>
        <v>0</v>
      </c>
    </row>
    <row r="58" spans="4:18" ht="15" x14ac:dyDescent="0.2">
      <c r="D58" s="20">
        <v>16</v>
      </c>
      <c r="E58" s="39" t="s">
        <v>127</v>
      </c>
      <c r="F58" s="39">
        <f t="shared" si="23"/>
        <v>0.1275</v>
      </c>
      <c r="G58" s="39">
        <f t="shared" si="24"/>
        <v>0.11950000000000001</v>
      </c>
      <c r="H58" s="39">
        <f t="shared" si="25"/>
        <v>7.5999999999999998E-2</v>
      </c>
      <c r="I58" s="39">
        <f t="shared" si="26"/>
        <v>7.0999999999999994E-2</v>
      </c>
      <c r="J58" s="39">
        <f t="shared" si="27"/>
        <v>0</v>
      </c>
      <c r="K58" s="39">
        <f t="shared" si="28"/>
        <v>0</v>
      </c>
      <c r="L58" s="39">
        <f t="shared" si="29"/>
        <v>0</v>
      </c>
      <c r="M58" s="39">
        <f t="shared" si="30"/>
        <v>0</v>
      </c>
      <c r="N58" s="3">
        <v>5.6</v>
      </c>
      <c r="O58" s="39">
        <f t="shared" si="31"/>
        <v>2.2767857142857145E-2</v>
      </c>
      <c r="P58" s="39">
        <f t="shared" si="20"/>
        <v>2.1339285714285717E-2</v>
      </c>
      <c r="Q58" s="39">
        <f t="shared" si="21"/>
        <v>0</v>
      </c>
      <c r="R58" s="39">
        <f t="shared" si="22"/>
        <v>0</v>
      </c>
    </row>
    <row r="59" spans="4:18" ht="15" x14ac:dyDescent="0.2">
      <c r="D59" s="20">
        <v>17</v>
      </c>
      <c r="E59" s="39" t="s">
        <v>1</v>
      </c>
      <c r="F59" s="39">
        <f t="shared" si="23"/>
        <v>39.85</v>
      </c>
      <c r="G59" s="39">
        <f t="shared" si="24"/>
        <v>0</v>
      </c>
      <c r="H59" s="39">
        <f t="shared" si="25"/>
        <v>0</v>
      </c>
      <c r="I59" s="39">
        <f t="shared" si="26"/>
        <v>0</v>
      </c>
      <c r="J59" s="39">
        <f t="shared" si="27"/>
        <v>0</v>
      </c>
      <c r="K59" s="39">
        <f t="shared" si="28"/>
        <v>0</v>
      </c>
      <c r="L59" s="39">
        <f t="shared" si="29"/>
        <v>0</v>
      </c>
      <c r="M59" s="39">
        <f t="shared" si="30"/>
        <v>0</v>
      </c>
      <c r="N59" s="3">
        <v>28</v>
      </c>
      <c r="O59" s="39">
        <f t="shared" si="31"/>
        <v>1.4232142857142858</v>
      </c>
      <c r="P59" s="39">
        <f t="shared" si="20"/>
        <v>0</v>
      </c>
      <c r="Q59" s="39">
        <f t="shared" si="21"/>
        <v>0</v>
      </c>
      <c r="R59" s="39">
        <f t="shared" si="22"/>
        <v>0</v>
      </c>
    </row>
    <row r="60" spans="4:18" ht="15" x14ac:dyDescent="0.2">
      <c r="D60" s="20">
        <v>18</v>
      </c>
      <c r="E60" s="39" t="s">
        <v>0</v>
      </c>
      <c r="F60" s="39">
        <f t="shared" si="23"/>
        <v>0</v>
      </c>
      <c r="G60" s="39">
        <f t="shared" si="24"/>
        <v>0</v>
      </c>
      <c r="H60" s="39">
        <f t="shared" si="25"/>
        <v>0</v>
      </c>
      <c r="I60" s="39">
        <f t="shared" si="26"/>
        <v>0</v>
      </c>
      <c r="J60" s="39">
        <f t="shared" si="27"/>
        <v>0</v>
      </c>
      <c r="K60" s="39">
        <f t="shared" si="28"/>
        <v>0</v>
      </c>
      <c r="L60" s="39">
        <f t="shared" si="29"/>
        <v>0</v>
      </c>
      <c r="M60" s="39">
        <f t="shared" si="30"/>
        <v>0</v>
      </c>
      <c r="N60" s="3">
        <v>170</v>
      </c>
      <c r="O60" s="39">
        <f t="shared" si="31"/>
        <v>0</v>
      </c>
      <c r="P60" s="39">
        <f t="shared" si="20"/>
        <v>0</v>
      </c>
      <c r="Q60" s="39">
        <f t="shared" si="21"/>
        <v>0</v>
      </c>
      <c r="R60" s="39">
        <f t="shared" si="22"/>
        <v>0</v>
      </c>
    </row>
    <row r="61" spans="4:18" ht="16" x14ac:dyDescent="0.2">
      <c r="E61" s="95" t="s">
        <v>99</v>
      </c>
      <c r="F61" s="97" t="s">
        <v>128</v>
      </c>
      <c r="G61" s="98"/>
      <c r="H61" s="98"/>
      <c r="I61" s="98"/>
      <c r="J61" s="98"/>
      <c r="K61" s="98"/>
      <c r="L61" s="98"/>
      <c r="M61" s="99"/>
      <c r="N61" s="59" t="s">
        <v>104</v>
      </c>
      <c r="O61" s="47" t="s">
        <v>105</v>
      </c>
      <c r="P61" s="48" t="s">
        <v>106</v>
      </c>
      <c r="Q61" s="48" t="s">
        <v>107</v>
      </c>
      <c r="R61" s="49" t="s">
        <v>108</v>
      </c>
    </row>
    <row r="62" spans="4:18" ht="15" x14ac:dyDescent="0.2">
      <c r="E62" s="96"/>
      <c r="F62" s="50">
        <v>50</v>
      </c>
      <c r="G62" s="51">
        <v>50</v>
      </c>
      <c r="H62" s="51">
        <v>50</v>
      </c>
      <c r="I62" s="51">
        <v>50</v>
      </c>
      <c r="J62" s="51">
        <v>50</v>
      </c>
      <c r="K62" s="51">
        <v>50</v>
      </c>
      <c r="L62" s="51">
        <v>50</v>
      </c>
      <c r="M62" s="52">
        <v>50</v>
      </c>
      <c r="N62" s="60" t="s">
        <v>113</v>
      </c>
      <c r="O62" s="47" t="s">
        <v>27</v>
      </c>
      <c r="P62" s="48" t="s">
        <v>27</v>
      </c>
      <c r="Q62" s="48" t="s">
        <v>27</v>
      </c>
      <c r="R62" s="49" t="s">
        <v>27</v>
      </c>
    </row>
    <row r="63" spans="4:18" ht="15" x14ac:dyDescent="0.2">
      <c r="D63" s="20">
        <v>1</v>
      </c>
      <c r="E63" s="39" t="s">
        <v>114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f>L3/$L$62</f>
        <v>1.36E-4</v>
      </c>
      <c r="M63" s="39">
        <v>0</v>
      </c>
      <c r="N63" s="7">
        <v>5.7000000000000002E-2</v>
      </c>
      <c r="O63" s="39">
        <f>MAX(F63:G63)/N63</f>
        <v>0</v>
      </c>
      <c r="P63" s="39">
        <f>MAX(G63:H63)/N63</f>
        <v>0</v>
      </c>
      <c r="Q63" s="39">
        <f>MAX(J63:K63)/N63</f>
        <v>0</v>
      </c>
      <c r="R63" s="39">
        <f>MAX(L63:M63)/N63</f>
        <v>2.3859649122807015E-3</v>
      </c>
    </row>
    <row r="64" spans="4:18" ht="15" x14ac:dyDescent="0.2">
      <c r="D64" s="20">
        <v>2</v>
      </c>
      <c r="E64" s="39" t="s">
        <v>115</v>
      </c>
      <c r="F64" s="39">
        <f>F4/$F$62</f>
        <v>0.18479999999999999</v>
      </c>
      <c r="G64" s="39">
        <f>G4/$G$62</f>
        <v>0.34799999999999998</v>
      </c>
      <c r="H64" s="39">
        <f>H4/$H$62</f>
        <v>0.11</v>
      </c>
      <c r="I64" s="39">
        <f>I4/$I$62</f>
        <v>0.13639999999999999</v>
      </c>
      <c r="J64" s="39">
        <f>J4/$J$62</f>
        <v>3.8800000000000001E-2</v>
      </c>
      <c r="K64" s="39">
        <f>K4/$K$62</f>
        <v>4.0599999999999997E-2</v>
      </c>
      <c r="L64" s="39">
        <f>L4/$L$62</f>
        <v>0.1618</v>
      </c>
      <c r="M64" s="39">
        <f>M4/$M$62</f>
        <v>2.2599999999999999E-2</v>
      </c>
      <c r="N64" s="7">
        <v>114.7</v>
      </c>
      <c r="O64" s="39">
        <f t="shared" ref="O64:O80" si="32">MAX(F64:G64)/N64</f>
        <v>3.0340017436791627E-3</v>
      </c>
      <c r="P64" s="39">
        <f t="shared" ref="P64:P80" si="33">MAX(G64:H64)/N64</f>
        <v>3.0340017436791627E-3</v>
      </c>
      <c r="Q64" s="39">
        <f t="shared" ref="Q64:Q80" si="34">MAX(J64:K64)/N64</f>
        <v>3.5396687009590233E-4</v>
      </c>
      <c r="R64" s="39">
        <f t="shared" ref="R64:R80" si="35">MAX(L64:M64)/N64</f>
        <v>1.4106364428945074E-3</v>
      </c>
    </row>
    <row r="65" spans="4:18" ht="15" x14ac:dyDescent="0.2">
      <c r="D65" s="20">
        <v>3</v>
      </c>
      <c r="E65" s="39" t="s">
        <v>116</v>
      </c>
      <c r="F65" s="39">
        <f t="shared" ref="F65:F80" si="36">F5/$F$62</f>
        <v>1.9</v>
      </c>
      <c r="G65" s="39">
        <f t="shared" ref="G65:G80" si="37">G5/$G$62</f>
        <v>2.86</v>
      </c>
      <c r="H65" s="39">
        <f t="shared" ref="H65:H80" si="38">H5/$H$62</f>
        <v>1.52</v>
      </c>
      <c r="I65" s="39">
        <f t="shared" ref="I65:I80" si="39">I5/$I$62</f>
        <v>1.46</v>
      </c>
      <c r="J65" s="39">
        <f t="shared" ref="J65:J80" si="40">J5/$J$62</f>
        <v>0.56000000000000005</v>
      </c>
      <c r="K65" s="39">
        <f t="shared" ref="K65:K80" si="41">K5/$K$62</f>
        <v>0.46</v>
      </c>
      <c r="L65" s="39">
        <f t="shared" ref="L65:L80" si="42">L5/$L$62</f>
        <v>0.64</v>
      </c>
      <c r="M65" s="39">
        <f t="shared" ref="M65:M80" si="43">M5/$M$62</f>
        <v>0.7</v>
      </c>
      <c r="N65" s="6">
        <v>2900</v>
      </c>
      <c r="O65" s="39">
        <f t="shared" si="32"/>
        <v>9.8620689655172403E-4</v>
      </c>
      <c r="P65" s="39">
        <f t="shared" si="33"/>
        <v>9.8620689655172403E-4</v>
      </c>
      <c r="Q65" s="39">
        <f t="shared" si="34"/>
        <v>1.9310344827586209E-4</v>
      </c>
      <c r="R65" s="39">
        <f t="shared" si="35"/>
        <v>2.4137931034482756E-4</v>
      </c>
    </row>
    <row r="66" spans="4:18" ht="15" x14ac:dyDescent="0.2">
      <c r="D66" s="20">
        <v>4</v>
      </c>
      <c r="E66" s="39" t="s">
        <v>117</v>
      </c>
      <c r="F66" s="39">
        <f t="shared" si="36"/>
        <v>5.28E-2</v>
      </c>
      <c r="G66" s="39">
        <f t="shared" si="37"/>
        <v>4.3799999999999999E-2</v>
      </c>
      <c r="H66" s="39">
        <f t="shared" si="38"/>
        <v>3.6200000000000003E-2</v>
      </c>
      <c r="I66" s="39">
        <f t="shared" si="39"/>
        <v>3.32E-2</v>
      </c>
      <c r="J66" s="39">
        <f t="shared" si="40"/>
        <v>1.46E-2</v>
      </c>
      <c r="K66" s="39">
        <f t="shared" si="41"/>
        <v>0</v>
      </c>
      <c r="L66" s="39">
        <f t="shared" si="42"/>
        <v>0</v>
      </c>
      <c r="M66" s="39">
        <f t="shared" si="43"/>
        <v>0</v>
      </c>
      <c r="N66" s="3">
        <v>1.06</v>
      </c>
      <c r="O66" s="39">
        <f t="shared" si="32"/>
        <v>4.9811320754716976E-2</v>
      </c>
      <c r="P66" s="39">
        <f t="shared" si="33"/>
        <v>4.1320754716981128E-2</v>
      </c>
      <c r="Q66" s="39">
        <f t="shared" si="34"/>
        <v>1.3773584905660377E-2</v>
      </c>
      <c r="R66" s="39">
        <f t="shared" si="35"/>
        <v>0</v>
      </c>
    </row>
    <row r="67" spans="4:18" ht="15" x14ac:dyDescent="0.2">
      <c r="D67" s="20">
        <v>5</v>
      </c>
      <c r="E67" s="39" t="s">
        <v>118</v>
      </c>
      <c r="F67" s="39">
        <f t="shared" si="36"/>
        <v>1.28</v>
      </c>
      <c r="G67" s="39">
        <f t="shared" si="37"/>
        <v>1.3019999999999998</v>
      </c>
      <c r="H67" s="39">
        <f t="shared" si="38"/>
        <v>0.35600000000000004</v>
      </c>
      <c r="I67" s="39">
        <f t="shared" si="39"/>
        <v>0.84799999999999998</v>
      </c>
      <c r="J67" s="39">
        <f t="shared" si="40"/>
        <v>0.374</v>
      </c>
      <c r="K67" s="39">
        <f t="shared" si="41"/>
        <v>0.41600000000000004</v>
      </c>
      <c r="L67" s="39">
        <f t="shared" si="42"/>
        <v>0.28199999999999997</v>
      </c>
      <c r="M67" s="39">
        <f t="shared" si="43"/>
        <v>0.30599999999999999</v>
      </c>
      <c r="N67" s="3">
        <v>6.3</v>
      </c>
      <c r="O67" s="39">
        <f t="shared" si="32"/>
        <v>0.20666666666666664</v>
      </c>
      <c r="P67" s="39">
        <f t="shared" si="33"/>
        <v>0.20666666666666664</v>
      </c>
      <c r="Q67" s="39">
        <f t="shared" si="34"/>
        <v>6.6031746031746039E-2</v>
      </c>
      <c r="R67" s="39">
        <f t="shared" si="35"/>
        <v>4.8571428571428571E-2</v>
      </c>
    </row>
    <row r="68" spans="4:18" ht="15" x14ac:dyDescent="0.2">
      <c r="D68" s="20">
        <v>6</v>
      </c>
      <c r="E68" s="39" t="s">
        <v>16</v>
      </c>
      <c r="F68" s="39">
        <f t="shared" si="36"/>
        <v>0</v>
      </c>
      <c r="G68" s="39">
        <f t="shared" si="37"/>
        <v>0</v>
      </c>
      <c r="H68" s="39">
        <f t="shared" si="38"/>
        <v>0</v>
      </c>
      <c r="I68" s="39">
        <f t="shared" si="39"/>
        <v>0</v>
      </c>
      <c r="J68" s="39">
        <f t="shared" si="40"/>
        <v>0</v>
      </c>
      <c r="K68" s="39">
        <f t="shared" si="41"/>
        <v>0</v>
      </c>
      <c r="L68" s="39">
        <f t="shared" si="42"/>
        <v>0</v>
      </c>
      <c r="M68" s="39">
        <f t="shared" si="43"/>
        <v>0</v>
      </c>
      <c r="N68" s="3">
        <v>1650</v>
      </c>
      <c r="O68" s="39">
        <f t="shared" si="32"/>
        <v>0</v>
      </c>
      <c r="P68" s="39">
        <f t="shared" si="33"/>
        <v>0</v>
      </c>
      <c r="Q68" s="39">
        <f t="shared" si="34"/>
        <v>0</v>
      </c>
      <c r="R68" s="39">
        <f t="shared" si="35"/>
        <v>0</v>
      </c>
    </row>
    <row r="69" spans="4:18" ht="15" x14ac:dyDescent="0.2">
      <c r="D69" s="20">
        <v>7</v>
      </c>
      <c r="E69" s="39" t="s">
        <v>119</v>
      </c>
      <c r="F69" s="39">
        <f t="shared" si="36"/>
        <v>7.36</v>
      </c>
      <c r="G69" s="39">
        <f t="shared" si="37"/>
        <v>7.46</v>
      </c>
      <c r="H69" s="39">
        <f t="shared" si="38"/>
        <v>5.7</v>
      </c>
      <c r="I69" s="39">
        <f t="shared" si="39"/>
        <v>6.46</v>
      </c>
      <c r="J69" s="39">
        <f t="shared" si="40"/>
        <v>2.14</v>
      </c>
      <c r="K69" s="39">
        <f t="shared" si="41"/>
        <v>2.12</v>
      </c>
      <c r="L69" s="39">
        <f t="shared" si="42"/>
        <v>1.032</v>
      </c>
      <c r="M69" s="39">
        <f t="shared" si="43"/>
        <v>1.014</v>
      </c>
      <c r="N69" s="3">
        <v>34</v>
      </c>
      <c r="O69" s="39">
        <f t="shared" si="32"/>
        <v>0.21941176470588236</v>
      </c>
      <c r="P69" s="39">
        <f t="shared" si="33"/>
        <v>0.21941176470588236</v>
      </c>
      <c r="Q69" s="39">
        <f t="shared" si="34"/>
        <v>6.2941176470588237E-2</v>
      </c>
      <c r="R69" s="39">
        <f t="shared" si="35"/>
        <v>3.0352941176470589E-2</v>
      </c>
    </row>
    <row r="70" spans="4:18" ht="15" x14ac:dyDescent="0.2">
      <c r="D70" s="20">
        <v>8</v>
      </c>
      <c r="E70" s="39" t="s">
        <v>120</v>
      </c>
      <c r="F70" s="39">
        <f t="shared" si="36"/>
        <v>0</v>
      </c>
      <c r="G70" s="39">
        <f t="shared" si="37"/>
        <v>0</v>
      </c>
      <c r="H70" s="39">
        <f t="shared" si="38"/>
        <v>0</v>
      </c>
      <c r="I70" s="39">
        <f t="shared" si="39"/>
        <v>0</v>
      </c>
      <c r="J70" s="39">
        <f t="shared" si="40"/>
        <v>0</v>
      </c>
      <c r="K70" s="39">
        <f t="shared" si="41"/>
        <v>0</v>
      </c>
      <c r="L70" s="39">
        <f t="shared" si="42"/>
        <v>0</v>
      </c>
      <c r="M70" s="39">
        <f t="shared" si="43"/>
        <v>0</v>
      </c>
      <c r="N70" s="3">
        <v>11900</v>
      </c>
      <c r="O70" s="39">
        <f t="shared" si="32"/>
        <v>0</v>
      </c>
      <c r="P70" s="39">
        <f t="shared" si="33"/>
        <v>0</v>
      </c>
      <c r="Q70" s="39">
        <f t="shared" si="34"/>
        <v>0</v>
      </c>
      <c r="R70" s="39">
        <f t="shared" si="35"/>
        <v>0</v>
      </c>
    </row>
    <row r="71" spans="4:18" ht="15" x14ac:dyDescent="0.2">
      <c r="D71" s="20">
        <v>9</v>
      </c>
      <c r="E71" s="39" t="s">
        <v>11</v>
      </c>
      <c r="F71" s="39">
        <f t="shared" si="36"/>
        <v>0</v>
      </c>
      <c r="G71" s="39">
        <f t="shared" si="37"/>
        <v>0</v>
      </c>
      <c r="H71" s="39">
        <f t="shared" si="38"/>
        <v>0</v>
      </c>
      <c r="I71" s="39">
        <f t="shared" si="39"/>
        <v>0</v>
      </c>
      <c r="J71" s="39">
        <f t="shared" si="40"/>
        <v>0</v>
      </c>
      <c r="K71" s="39">
        <f t="shared" si="41"/>
        <v>0</v>
      </c>
      <c r="L71" s="39">
        <f t="shared" si="42"/>
        <v>0</v>
      </c>
      <c r="M71" s="39">
        <f t="shared" si="43"/>
        <v>0</v>
      </c>
      <c r="N71" s="3">
        <v>37</v>
      </c>
      <c r="O71" s="39">
        <f t="shared" si="32"/>
        <v>0</v>
      </c>
      <c r="P71" s="39">
        <f t="shared" si="33"/>
        <v>0</v>
      </c>
      <c r="Q71" s="39">
        <f t="shared" si="34"/>
        <v>0</v>
      </c>
      <c r="R71" s="39">
        <f t="shared" si="35"/>
        <v>0</v>
      </c>
    </row>
    <row r="72" spans="4:18" ht="15" x14ac:dyDescent="0.2">
      <c r="D72" s="20">
        <v>10</v>
      </c>
      <c r="E72" s="39" t="s">
        <v>121</v>
      </c>
      <c r="F72" s="39">
        <f t="shared" si="36"/>
        <v>4.8000000000000001E-2</v>
      </c>
      <c r="G72" s="39">
        <f t="shared" si="37"/>
        <v>4.5999999999999999E-2</v>
      </c>
      <c r="H72" s="39">
        <f t="shared" si="38"/>
        <v>3.4000000000000002E-2</v>
      </c>
      <c r="I72" s="39">
        <f t="shared" si="39"/>
        <v>3.2000000000000001E-2</v>
      </c>
      <c r="J72" s="39">
        <f t="shared" si="40"/>
        <v>0</v>
      </c>
      <c r="K72" s="39">
        <f t="shared" si="41"/>
        <v>0</v>
      </c>
      <c r="L72" s="39">
        <f t="shared" si="42"/>
        <v>0</v>
      </c>
      <c r="M72" s="39">
        <f t="shared" si="43"/>
        <v>0</v>
      </c>
      <c r="N72" s="3">
        <v>4.0999999999999996</v>
      </c>
      <c r="O72" s="39">
        <f t="shared" si="32"/>
        <v>1.1707317073170733E-2</v>
      </c>
      <c r="P72" s="39">
        <f t="shared" si="33"/>
        <v>1.1219512195121953E-2</v>
      </c>
      <c r="Q72" s="39">
        <f t="shared" si="34"/>
        <v>0</v>
      </c>
      <c r="R72" s="39">
        <f t="shared" si="35"/>
        <v>0</v>
      </c>
    </row>
    <row r="73" spans="4:18" ht="15" x14ac:dyDescent="0.2">
      <c r="D73" s="20">
        <v>11</v>
      </c>
      <c r="E73" s="39" t="s">
        <v>122</v>
      </c>
      <c r="F73" s="39">
        <f t="shared" si="36"/>
        <v>17.68</v>
      </c>
      <c r="G73" s="39">
        <f t="shared" si="37"/>
        <v>12.3</v>
      </c>
      <c r="H73" s="39">
        <f t="shared" si="38"/>
        <v>13.98</v>
      </c>
      <c r="I73" s="39">
        <f t="shared" si="39"/>
        <v>12.56</v>
      </c>
      <c r="J73" s="39">
        <f t="shared" si="40"/>
        <v>6.88</v>
      </c>
      <c r="K73" s="39">
        <f t="shared" si="41"/>
        <v>6.3</v>
      </c>
      <c r="L73" s="39">
        <f t="shared" si="42"/>
        <v>5.28</v>
      </c>
      <c r="M73" s="39">
        <f t="shared" si="43"/>
        <v>4.0599999999999996</v>
      </c>
      <c r="N73" s="3">
        <v>14.4</v>
      </c>
      <c r="O73" s="39">
        <f t="shared" si="32"/>
        <v>1.2277777777777776</v>
      </c>
      <c r="P73" s="39">
        <f t="shared" si="33"/>
        <v>0.97083333333333333</v>
      </c>
      <c r="Q73" s="39">
        <f t="shared" si="34"/>
        <v>0.47777777777777775</v>
      </c>
      <c r="R73" s="39">
        <f t="shared" si="35"/>
        <v>0.3666666666666667</v>
      </c>
    </row>
    <row r="74" spans="4:18" ht="15" x14ac:dyDescent="0.2">
      <c r="D74" s="20">
        <v>12</v>
      </c>
      <c r="E74" s="39" t="s">
        <v>123</v>
      </c>
      <c r="F74" s="39">
        <f t="shared" si="36"/>
        <v>1.6000000000000001E-3</v>
      </c>
      <c r="G74" s="39">
        <f t="shared" si="37"/>
        <v>1.0199999999999999E-3</v>
      </c>
      <c r="H74" s="39">
        <f t="shared" si="38"/>
        <v>9.3999999999999997E-4</v>
      </c>
      <c r="I74" s="39">
        <f t="shared" si="39"/>
        <v>0</v>
      </c>
      <c r="J74" s="39">
        <f t="shared" si="40"/>
        <v>0</v>
      </c>
      <c r="K74" s="39">
        <f t="shared" si="41"/>
        <v>0</v>
      </c>
      <c r="L74" s="39">
        <f t="shared" si="42"/>
        <v>0</v>
      </c>
      <c r="M74" s="39">
        <f t="shared" si="43"/>
        <v>0</v>
      </c>
      <c r="N74" s="3">
        <v>0.19</v>
      </c>
      <c r="O74" s="39">
        <f t="shared" si="32"/>
        <v>8.4210526315789472E-3</v>
      </c>
      <c r="P74" s="39">
        <f t="shared" si="33"/>
        <v>5.3684210526315779E-3</v>
      </c>
      <c r="Q74" s="39">
        <f t="shared" si="34"/>
        <v>0</v>
      </c>
      <c r="R74" s="39">
        <f t="shared" si="35"/>
        <v>0</v>
      </c>
    </row>
    <row r="75" spans="4:18" ht="15" x14ac:dyDescent="0.2">
      <c r="D75" s="20">
        <v>13</v>
      </c>
      <c r="E75" s="39" t="s">
        <v>124</v>
      </c>
      <c r="F75" s="39">
        <f t="shared" si="36"/>
        <v>1.66E-2</v>
      </c>
      <c r="G75" s="39">
        <f t="shared" si="37"/>
        <v>2.12E-2</v>
      </c>
      <c r="H75" s="39">
        <f t="shared" si="38"/>
        <v>0</v>
      </c>
      <c r="I75" s="39">
        <f t="shared" si="39"/>
        <v>0</v>
      </c>
      <c r="J75" s="39">
        <f t="shared" si="40"/>
        <v>0</v>
      </c>
      <c r="K75" s="39">
        <f t="shared" si="41"/>
        <v>0</v>
      </c>
      <c r="L75" s="39">
        <f t="shared" si="42"/>
        <v>0</v>
      </c>
      <c r="M75" s="39">
        <f t="shared" si="43"/>
        <v>0</v>
      </c>
      <c r="N75" s="3">
        <v>6.5</v>
      </c>
      <c r="O75" s="39">
        <f t="shared" si="32"/>
        <v>3.2615384615384616E-3</v>
      </c>
      <c r="P75" s="39">
        <f t="shared" si="33"/>
        <v>3.2615384615384616E-3</v>
      </c>
      <c r="Q75" s="39">
        <f t="shared" si="34"/>
        <v>0</v>
      </c>
      <c r="R75" s="39">
        <f t="shared" si="35"/>
        <v>0</v>
      </c>
    </row>
    <row r="76" spans="4:18" ht="15" x14ac:dyDescent="0.2">
      <c r="D76" s="20">
        <v>14</v>
      </c>
      <c r="E76" s="39" t="s">
        <v>125</v>
      </c>
      <c r="F76" s="39">
        <f t="shared" si="36"/>
        <v>0.55600000000000005</v>
      </c>
      <c r="G76" s="39">
        <f t="shared" si="37"/>
        <v>0.49399999999999999</v>
      </c>
      <c r="H76" s="39">
        <f t="shared" si="38"/>
        <v>0.33799999999999997</v>
      </c>
      <c r="I76" s="39">
        <f t="shared" si="39"/>
        <v>0.38200000000000001</v>
      </c>
      <c r="J76" s="39">
        <f t="shared" si="40"/>
        <v>7.3399999999999993E-2</v>
      </c>
      <c r="K76" s="39">
        <f t="shared" si="41"/>
        <v>0.13119999999999998</v>
      </c>
      <c r="L76" s="39">
        <f t="shared" si="42"/>
        <v>0.40399999999999997</v>
      </c>
      <c r="M76" s="39">
        <f t="shared" si="43"/>
        <v>0.20199999999999999</v>
      </c>
      <c r="N76" s="3">
        <v>20</v>
      </c>
      <c r="O76" s="39">
        <f t="shared" si="32"/>
        <v>2.7800000000000002E-2</v>
      </c>
      <c r="P76" s="39">
        <f t="shared" si="33"/>
        <v>2.47E-2</v>
      </c>
      <c r="Q76" s="39">
        <f t="shared" si="34"/>
        <v>6.559999999999999E-3</v>
      </c>
      <c r="R76" s="39">
        <f t="shared" si="35"/>
        <v>2.0199999999999999E-2</v>
      </c>
    </row>
    <row r="77" spans="4:18" ht="15" x14ac:dyDescent="0.2">
      <c r="D77" s="20">
        <v>15</v>
      </c>
      <c r="E77" s="39" t="s">
        <v>126</v>
      </c>
      <c r="F77" s="39">
        <f t="shared" si="36"/>
        <v>2.7200000000000002E-2</v>
      </c>
      <c r="G77" s="39">
        <f t="shared" si="37"/>
        <v>3.0800000000000001E-2</v>
      </c>
      <c r="H77" s="39">
        <f t="shared" si="38"/>
        <v>0</v>
      </c>
      <c r="I77" s="39">
        <f t="shared" si="39"/>
        <v>0</v>
      </c>
      <c r="J77" s="39">
        <f t="shared" si="40"/>
        <v>0</v>
      </c>
      <c r="K77" s="39">
        <f t="shared" si="41"/>
        <v>0</v>
      </c>
      <c r="L77" s="39">
        <f t="shared" si="42"/>
        <v>0</v>
      </c>
      <c r="M77" s="39">
        <f t="shared" si="43"/>
        <v>0</v>
      </c>
      <c r="N77" s="3">
        <v>2.4</v>
      </c>
      <c r="O77" s="39">
        <f t="shared" si="32"/>
        <v>1.2833333333333334E-2</v>
      </c>
      <c r="P77" s="39">
        <f t="shared" si="33"/>
        <v>1.2833333333333334E-2</v>
      </c>
      <c r="Q77" s="39">
        <f t="shared" si="34"/>
        <v>0</v>
      </c>
      <c r="R77" s="39">
        <f t="shared" si="35"/>
        <v>0</v>
      </c>
    </row>
    <row r="78" spans="4:18" ht="15" x14ac:dyDescent="0.2">
      <c r="D78" s="20">
        <v>16</v>
      </c>
      <c r="E78" s="39" t="s">
        <v>127</v>
      </c>
      <c r="F78" s="39">
        <f t="shared" si="36"/>
        <v>5.0999999999999997E-2</v>
      </c>
      <c r="G78" s="39">
        <f t="shared" si="37"/>
        <v>4.7800000000000002E-2</v>
      </c>
      <c r="H78" s="39">
        <f t="shared" si="38"/>
        <v>3.04E-2</v>
      </c>
      <c r="I78" s="39">
        <f t="shared" si="39"/>
        <v>2.8399999999999998E-2</v>
      </c>
      <c r="J78" s="39">
        <f t="shared" si="40"/>
        <v>0</v>
      </c>
      <c r="K78" s="39">
        <f t="shared" si="41"/>
        <v>0</v>
      </c>
      <c r="L78" s="39">
        <f t="shared" si="42"/>
        <v>0</v>
      </c>
      <c r="M78" s="39">
        <f t="shared" si="43"/>
        <v>0</v>
      </c>
      <c r="N78" s="3">
        <v>5.6</v>
      </c>
      <c r="O78" s="39">
        <f t="shared" si="32"/>
        <v>9.1071428571428571E-3</v>
      </c>
      <c r="P78" s="39">
        <f t="shared" si="33"/>
        <v>8.5357142857142871E-3</v>
      </c>
      <c r="Q78" s="39">
        <f t="shared" si="34"/>
        <v>0</v>
      </c>
      <c r="R78" s="39">
        <f t="shared" si="35"/>
        <v>0</v>
      </c>
    </row>
    <row r="79" spans="4:18" ht="15" x14ac:dyDescent="0.2">
      <c r="D79" s="20">
        <v>17</v>
      </c>
      <c r="E79" s="39" t="s">
        <v>1</v>
      </c>
      <c r="F79" s="39">
        <f t="shared" si="36"/>
        <v>15.94</v>
      </c>
      <c r="G79" s="39">
        <f t="shared" si="37"/>
        <v>0</v>
      </c>
      <c r="H79" s="39">
        <f t="shared" si="38"/>
        <v>0</v>
      </c>
      <c r="I79" s="39">
        <f t="shared" si="39"/>
        <v>0</v>
      </c>
      <c r="J79" s="39">
        <f t="shared" si="40"/>
        <v>0</v>
      </c>
      <c r="K79" s="39">
        <f t="shared" si="41"/>
        <v>0</v>
      </c>
      <c r="L79" s="39">
        <f t="shared" si="42"/>
        <v>0</v>
      </c>
      <c r="M79" s="39">
        <f t="shared" si="43"/>
        <v>0</v>
      </c>
      <c r="N79" s="3">
        <v>28</v>
      </c>
      <c r="O79" s="39">
        <f t="shared" si="32"/>
        <v>0.56928571428571428</v>
      </c>
      <c r="P79" s="39">
        <f t="shared" si="33"/>
        <v>0</v>
      </c>
      <c r="Q79" s="39">
        <f t="shared" si="34"/>
        <v>0</v>
      </c>
      <c r="R79" s="39">
        <f t="shared" si="35"/>
        <v>0</v>
      </c>
    </row>
    <row r="80" spans="4:18" ht="15" x14ac:dyDescent="0.2">
      <c r="D80" s="20">
        <v>18</v>
      </c>
      <c r="E80" s="39" t="s">
        <v>0</v>
      </c>
      <c r="F80" s="39">
        <f t="shared" si="36"/>
        <v>0</v>
      </c>
      <c r="G80" s="39">
        <f t="shared" si="37"/>
        <v>0</v>
      </c>
      <c r="H80" s="39">
        <f t="shared" si="38"/>
        <v>0</v>
      </c>
      <c r="I80" s="39">
        <f t="shared" si="39"/>
        <v>0</v>
      </c>
      <c r="J80" s="39">
        <f t="shared" si="40"/>
        <v>0</v>
      </c>
      <c r="K80" s="39">
        <f t="shared" si="41"/>
        <v>0</v>
      </c>
      <c r="L80" s="39">
        <f t="shared" si="42"/>
        <v>0</v>
      </c>
      <c r="M80" s="39">
        <f t="shared" si="43"/>
        <v>0</v>
      </c>
      <c r="N80" s="3">
        <v>170</v>
      </c>
      <c r="O80" s="39">
        <f t="shared" si="32"/>
        <v>0</v>
      </c>
      <c r="P80" s="39">
        <f t="shared" si="33"/>
        <v>0</v>
      </c>
      <c r="Q80" s="39">
        <f t="shared" si="34"/>
        <v>0</v>
      </c>
      <c r="R80" s="39">
        <f t="shared" si="35"/>
        <v>0</v>
      </c>
    </row>
    <row r="81" spans="5:18" ht="16" x14ac:dyDescent="0.2">
      <c r="E81" s="95" t="s">
        <v>99</v>
      </c>
      <c r="F81" s="97" t="s">
        <v>128</v>
      </c>
      <c r="G81" s="98"/>
      <c r="H81" s="98"/>
      <c r="I81" s="98"/>
      <c r="J81" s="98"/>
      <c r="K81" s="98"/>
      <c r="L81" s="98"/>
      <c r="M81" s="99"/>
      <c r="N81" s="59" t="s">
        <v>104</v>
      </c>
      <c r="O81" s="47" t="s">
        <v>105</v>
      </c>
      <c r="P81" s="48" t="s">
        <v>106</v>
      </c>
      <c r="Q81" s="48" t="s">
        <v>107</v>
      </c>
      <c r="R81" s="49" t="s">
        <v>108</v>
      </c>
    </row>
    <row r="82" spans="5:18" ht="15" x14ac:dyDescent="0.2">
      <c r="E82" s="96"/>
      <c r="F82" s="50">
        <v>60</v>
      </c>
      <c r="G82" s="51">
        <v>60</v>
      </c>
      <c r="H82" s="51">
        <v>60</v>
      </c>
      <c r="I82" s="51">
        <v>60</v>
      </c>
      <c r="J82" s="51">
        <v>60</v>
      </c>
      <c r="K82" s="51">
        <v>60</v>
      </c>
      <c r="L82" s="51">
        <v>60</v>
      </c>
      <c r="M82" s="52">
        <v>60</v>
      </c>
      <c r="N82" s="60" t="s">
        <v>113</v>
      </c>
      <c r="O82" s="47" t="s">
        <v>27</v>
      </c>
      <c r="P82" s="48" t="s">
        <v>27</v>
      </c>
      <c r="Q82" s="48" t="s">
        <v>27</v>
      </c>
      <c r="R82" s="49" t="s">
        <v>27</v>
      </c>
    </row>
    <row r="83" spans="5:18" ht="15" x14ac:dyDescent="0.2">
      <c r="E83" s="39" t="s">
        <v>114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f>L3/60</f>
        <v>1.1333333333333333E-4</v>
      </c>
      <c r="M83" s="39">
        <v>0</v>
      </c>
      <c r="N83" s="7">
        <v>5.7000000000000002E-2</v>
      </c>
      <c r="O83" s="39">
        <f>MAX(F83:G83)/N83</f>
        <v>0</v>
      </c>
      <c r="P83" s="39">
        <f>MAX(G83:H83)/N83</f>
        <v>0</v>
      </c>
      <c r="Q83" s="39">
        <f>MAX(J83:K83)/N83</f>
        <v>0</v>
      </c>
      <c r="R83" s="39">
        <f>MAX(L83:M83)/N83</f>
        <v>1.9883040935672514E-3</v>
      </c>
    </row>
    <row r="84" spans="5:18" ht="15" x14ac:dyDescent="0.2">
      <c r="E84" s="39" t="s">
        <v>115</v>
      </c>
      <c r="F84" s="39">
        <f t="shared" ref="F84:M99" si="44">F4/60</f>
        <v>0.154</v>
      </c>
      <c r="G84" s="39">
        <f t="shared" si="44"/>
        <v>0.28999999999999998</v>
      </c>
      <c r="H84" s="39">
        <f t="shared" si="44"/>
        <v>9.166666666666666E-2</v>
      </c>
      <c r="I84" s="39">
        <f t="shared" si="44"/>
        <v>0.11366666666666667</v>
      </c>
      <c r="J84" s="39">
        <f t="shared" si="44"/>
        <v>3.2333333333333332E-2</v>
      </c>
      <c r="K84" s="39">
        <f t="shared" si="44"/>
        <v>3.3833333333333333E-2</v>
      </c>
      <c r="L84" s="39">
        <f t="shared" si="44"/>
        <v>0.13483333333333333</v>
      </c>
      <c r="M84" s="39">
        <f>M4/60</f>
        <v>1.883333333333333E-2</v>
      </c>
      <c r="N84" s="7">
        <v>114.7</v>
      </c>
      <c r="O84" s="39">
        <f t="shared" ref="O84:O100" si="45">MAX(F84:G84)/N84</f>
        <v>2.5283347863993022E-3</v>
      </c>
      <c r="P84" s="39">
        <f t="shared" ref="P84:P100" si="46">MAX(G84:H84)/N84</f>
        <v>2.5283347863993022E-3</v>
      </c>
      <c r="Q84" s="39">
        <f t="shared" ref="Q84:Q100" si="47">MAX(J84:K84)/N84</f>
        <v>2.9497239174658527E-4</v>
      </c>
      <c r="R84" s="39">
        <f t="shared" ref="R84:R100" si="48">MAX(L84:M84)/N84</f>
        <v>1.1755303690787562E-3</v>
      </c>
    </row>
    <row r="85" spans="5:18" ht="15" x14ac:dyDescent="0.2">
      <c r="E85" s="39" t="s">
        <v>116</v>
      </c>
      <c r="F85" s="39">
        <f t="shared" si="44"/>
        <v>1.5833333333333333</v>
      </c>
      <c r="G85" s="39">
        <f t="shared" si="44"/>
        <v>2.3833333333333333</v>
      </c>
      <c r="H85" s="39">
        <f t="shared" si="44"/>
        <v>1.2666666666666666</v>
      </c>
      <c r="I85" s="39">
        <f t="shared" si="44"/>
        <v>1.2166666666666666</v>
      </c>
      <c r="J85" s="39">
        <f t="shared" si="44"/>
        <v>0.46666666666666667</v>
      </c>
      <c r="K85" s="39">
        <f t="shared" si="44"/>
        <v>0.38333333333333336</v>
      </c>
      <c r="L85" s="39">
        <f t="shared" si="44"/>
        <v>0.53333333333333333</v>
      </c>
      <c r="M85" s="39">
        <f t="shared" si="44"/>
        <v>0.58333333333333337</v>
      </c>
      <c r="N85" s="6">
        <v>2900</v>
      </c>
      <c r="O85" s="39">
        <f t="shared" si="45"/>
        <v>8.2183908045977013E-4</v>
      </c>
      <c r="P85" s="39">
        <f t="shared" si="46"/>
        <v>8.2183908045977013E-4</v>
      </c>
      <c r="Q85" s="39">
        <f t="shared" si="47"/>
        <v>1.6091954022988506E-4</v>
      </c>
      <c r="R85" s="39">
        <f t="shared" si="48"/>
        <v>2.0114942528735632E-4</v>
      </c>
    </row>
    <row r="86" spans="5:18" ht="15" x14ac:dyDescent="0.2">
      <c r="E86" s="39" t="s">
        <v>117</v>
      </c>
      <c r="F86" s="39">
        <f t="shared" si="44"/>
        <v>4.4000000000000004E-2</v>
      </c>
      <c r="G86" s="39">
        <f t="shared" si="44"/>
        <v>3.6499999999999998E-2</v>
      </c>
      <c r="H86" s="39">
        <f t="shared" si="44"/>
        <v>3.0166666666666668E-2</v>
      </c>
      <c r="I86" s="39">
        <f t="shared" si="44"/>
        <v>2.7666666666666666E-2</v>
      </c>
      <c r="J86" s="39">
        <f t="shared" si="44"/>
        <v>1.2166666666666666E-2</v>
      </c>
      <c r="K86" s="39">
        <f t="shared" si="44"/>
        <v>0</v>
      </c>
      <c r="L86" s="39">
        <f t="shared" si="44"/>
        <v>0</v>
      </c>
      <c r="M86" s="39">
        <f t="shared" si="44"/>
        <v>0</v>
      </c>
      <c r="N86" s="3">
        <v>1.06</v>
      </c>
      <c r="O86" s="39">
        <f t="shared" si="45"/>
        <v>4.1509433962264156E-2</v>
      </c>
      <c r="P86" s="39">
        <f t="shared" si="46"/>
        <v>3.4433962264150943E-2</v>
      </c>
      <c r="Q86" s="39">
        <f t="shared" si="47"/>
        <v>1.1477987421383647E-2</v>
      </c>
      <c r="R86" s="39">
        <f t="shared" si="48"/>
        <v>0</v>
      </c>
    </row>
    <row r="87" spans="5:18" ht="15" x14ac:dyDescent="0.2">
      <c r="E87" s="39" t="s">
        <v>118</v>
      </c>
      <c r="F87" s="39">
        <f t="shared" si="44"/>
        <v>1.0666666666666667</v>
      </c>
      <c r="G87" s="39">
        <f t="shared" si="44"/>
        <v>1.085</v>
      </c>
      <c r="H87" s="39">
        <f t="shared" si="44"/>
        <v>0.29666666666666669</v>
      </c>
      <c r="I87" s="39">
        <f t="shared" si="44"/>
        <v>0.70666666666666667</v>
      </c>
      <c r="J87" s="39">
        <f t="shared" si="44"/>
        <v>0.31166666666666665</v>
      </c>
      <c r="K87" s="39">
        <f t="shared" si="44"/>
        <v>0.34666666666666668</v>
      </c>
      <c r="L87" s="39">
        <f t="shared" si="44"/>
        <v>0.23499999999999999</v>
      </c>
      <c r="M87" s="39">
        <f t="shared" si="44"/>
        <v>0.255</v>
      </c>
      <c r="N87" s="3">
        <v>6.3</v>
      </c>
      <c r="O87" s="39">
        <f t="shared" si="45"/>
        <v>0.17222222222222222</v>
      </c>
      <c r="P87" s="39">
        <f t="shared" si="46"/>
        <v>0.17222222222222222</v>
      </c>
      <c r="Q87" s="39">
        <f t="shared" si="47"/>
        <v>5.5026455026455028E-2</v>
      </c>
      <c r="R87" s="39">
        <f t="shared" si="48"/>
        <v>4.0476190476190478E-2</v>
      </c>
    </row>
    <row r="88" spans="5:18" ht="15" x14ac:dyDescent="0.2">
      <c r="E88" s="39" t="s">
        <v>16</v>
      </c>
      <c r="F88" s="39">
        <f t="shared" si="44"/>
        <v>0</v>
      </c>
      <c r="G88" s="39">
        <f t="shared" si="44"/>
        <v>0</v>
      </c>
      <c r="H88" s="39">
        <f t="shared" si="44"/>
        <v>0</v>
      </c>
      <c r="I88" s="39">
        <f t="shared" si="44"/>
        <v>0</v>
      </c>
      <c r="J88" s="39">
        <f t="shared" si="44"/>
        <v>0</v>
      </c>
      <c r="K88" s="39">
        <f t="shared" si="44"/>
        <v>0</v>
      </c>
      <c r="L88" s="39">
        <f t="shared" si="44"/>
        <v>0</v>
      </c>
      <c r="M88" s="39">
        <f t="shared" si="44"/>
        <v>0</v>
      </c>
      <c r="N88" s="3">
        <v>1650</v>
      </c>
      <c r="O88" s="39">
        <f t="shared" si="45"/>
        <v>0</v>
      </c>
      <c r="P88" s="39">
        <f t="shared" si="46"/>
        <v>0</v>
      </c>
      <c r="Q88" s="39">
        <f t="shared" si="47"/>
        <v>0</v>
      </c>
      <c r="R88" s="39">
        <f t="shared" si="48"/>
        <v>0</v>
      </c>
    </row>
    <row r="89" spans="5:18" ht="15" x14ac:dyDescent="0.2">
      <c r="E89" s="39" t="s">
        <v>119</v>
      </c>
      <c r="F89" s="39">
        <f t="shared" si="44"/>
        <v>6.1333333333333337</v>
      </c>
      <c r="G89" s="39">
        <f t="shared" si="44"/>
        <v>6.2166666666666668</v>
      </c>
      <c r="H89" s="39">
        <f t="shared" si="44"/>
        <v>4.75</v>
      </c>
      <c r="I89" s="39">
        <f t="shared" si="44"/>
        <v>5.3833333333333337</v>
      </c>
      <c r="J89" s="39">
        <f t="shared" si="44"/>
        <v>1.7833333333333334</v>
      </c>
      <c r="K89" s="39">
        <f t="shared" si="44"/>
        <v>1.7666666666666666</v>
      </c>
      <c r="L89" s="39">
        <f t="shared" si="44"/>
        <v>0.86</v>
      </c>
      <c r="M89" s="39">
        <f t="shared" si="44"/>
        <v>0.84500000000000008</v>
      </c>
      <c r="N89" s="3">
        <v>34</v>
      </c>
      <c r="O89" s="39">
        <f t="shared" si="45"/>
        <v>0.18284313725490198</v>
      </c>
      <c r="P89" s="39">
        <f t="shared" si="46"/>
        <v>0.18284313725490198</v>
      </c>
      <c r="Q89" s="39">
        <f t="shared" si="47"/>
        <v>5.2450980392156864E-2</v>
      </c>
      <c r="R89" s="39">
        <f t="shared" si="48"/>
        <v>2.5294117647058825E-2</v>
      </c>
    </row>
    <row r="90" spans="5:18" ht="15" x14ac:dyDescent="0.2">
      <c r="E90" s="39" t="s">
        <v>120</v>
      </c>
      <c r="F90" s="39">
        <f t="shared" si="44"/>
        <v>0</v>
      </c>
      <c r="G90" s="39">
        <f t="shared" si="44"/>
        <v>0</v>
      </c>
      <c r="H90" s="39">
        <f t="shared" si="44"/>
        <v>0</v>
      </c>
      <c r="I90" s="39">
        <f t="shared" si="44"/>
        <v>0</v>
      </c>
      <c r="J90" s="39">
        <f t="shared" si="44"/>
        <v>0</v>
      </c>
      <c r="K90" s="39">
        <f t="shared" si="44"/>
        <v>0</v>
      </c>
      <c r="L90" s="39">
        <f t="shared" si="44"/>
        <v>0</v>
      </c>
      <c r="M90" s="39">
        <f t="shared" si="44"/>
        <v>0</v>
      </c>
      <c r="N90" s="3">
        <v>11900</v>
      </c>
      <c r="O90" s="39">
        <f t="shared" si="45"/>
        <v>0</v>
      </c>
      <c r="P90" s="39">
        <f t="shared" si="46"/>
        <v>0</v>
      </c>
      <c r="Q90" s="39">
        <f t="shared" si="47"/>
        <v>0</v>
      </c>
      <c r="R90" s="39">
        <f t="shared" si="48"/>
        <v>0</v>
      </c>
    </row>
    <row r="91" spans="5:18" ht="15" x14ac:dyDescent="0.2">
      <c r="E91" s="39" t="s">
        <v>11</v>
      </c>
      <c r="F91" s="39">
        <f t="shared" si="44"/>
        <v>0</v>
      </c>
      <c r="G91" s="39">
        <f t="shared" si="44"/>
        <v>0</v>
      </c>
      <c r="H91" s="39">
        <f t="shared" si="44"/>
        <v>0</v>
      </c>
      <c r="I91" s="39">
        <f t="shared" si="44"/>
        <v>0</v>
      </c>
      <c r="J91" s="39">
        <f t="shared" si="44"/>
        <v>0</v>
      </c>
      <c r="K91" s="39">
        <f t="shared" si="44"/>
        <v>0</v>
      </c>
      <c r="L91" s="39">
        <f t="shared" si="44"/>
        <v>0</v>
      </c>
      <c r="M91" s="39">
        <f t="shared" si="44"/>
        <v>0</v>
      </c>
      <c r="N91" s="3">
        <v>37</v>
      </c>
      <c r="O91" s="39">
        <f t="shared" si="45"/>
        <v>0</v>
      </c>
      <c r="P91" s="39">
        <f t="shared" si="46"/>
        <v>0</v>
      </c>
      <c r="Q91" s="39">
        <f t="shared" si="47"/>
        <v>0</v>
      </c>
      <c r="R91" s="39">
        <f t="shared" si="48"/>
        <v>0</v>
      </c>
    </row>
    <row r="92" spans="5:18" ht="15" x14ac:dyDescent="0.2">
      <c r="E92" s="39" t="s">
        <v>121</v>
      </c>
      <c r="F92" s="39">
        <f t="shared" si="44"/>
        <v>0.04</v>
      </c>
      <c r="G92" s="39">
        <f t="shared" si="44"/>
        <v>3.833333333333333E-2</v>
      </c>
      <c r="H92" s="39">
        <f t="shared" si="44"/>
        <v>2.8333333333333332E-2</v>
      </c>
      <c r="I92" s="39">
        <f t="shared" si="44"/>
        <v>2.6666666666666668E-2</v>
      </c>
      <c r="J92" s="39">
        <f t="shared" si="44"/>
        <v>0</v>
      </c>
      <c r="K92" s="39">
        <f t="shared" si="44"/>
        <v>0</v>
      </c>
      <c r="L92" s="39">
        <f t="shared" si="44"/>
        <v>0</v>
      </c>
      <c r="M92" s="39">
        <f t="shared" si="44"/>
        <v>0</v>
      </c>
      <c r="N92" s="3">
        <v>4.0999999999999996</v>
      </c>
      <c r="O92" s="39">
        <f t="shared" si="45"/>
        <v>9.7560975609756115E-3</v>
      </c>
      <c r="P92" s="39">
        <f t="shared" si="46"/>
        <v>9.3495934959349596E-3</v>
      </c>
      <c r="Q92" s="39">
        <f t="shared" si="47"/>
        <v>0</v>
      </c>
      <c r="R92" s="39">
        <f t="shared" si="48"/>
        <v>0</v>
      </c>
    </row>
    <row r="93" spans="5:18" ht="15" x14ac:dyDescent="0.2">
      <c r="E93" s="39" t="s">
        <v>122</v>
      </c>
      <c r="F93" s="39">
        <f t="shared" si="44"/>
        <v>14.733333333333333</v>
      </c>
      <c r="G93" s="39">
        <f t="shared" si="44"/>
        <v>10.25</v>
      </c>
      <c r="H93" s="39">
        <f t="shared" si="44"/>
        <v>11.65</v>
      </c>
      <c r="I93" s="39">
        <f t="shared" si="44"/>
        <v>10.466666666666667</v>
      </c>
      <c r="J93" s="39">
        <f t="shared" si="44"/>
        <v>5.7333333333333334</v>
      </c>
      <c r="K93" s="39">
        <f t="shared" si="44"/>
        <v>5.25</v>
      </c>
      <c r="L93" s="39">
        <f t="shared" si="44"/>
        <v>4.4000000000000004</v>
      </c>
      <c r="M93" s="39">
        <f t="shared" si="44"/>
        <v>3.3833333333333333</v>
      </c>
      <c r="N93" s="3">
        <v>14.4</v>
      </c>
      <c r="O93" s="39">
        <f t="shared" si="45"/>
        <v>1.0231481481481481</v>
      </c>
      <c r="P93" s="39">
        <f t="shared" si="46"/>
        <v>0.80902777777777779</v>
      </c>
      <c r="Q93" s="39">
        <f t="shared" si="47"/>
        <v>0.39814814814814814</v>
      </c>
      <c r="R93" s="39">
        <f t="shared" si="48"/>
        <v>0.30555555555555558</v>
      </c>
    </row>
    <row r="94" spans="5:18" ht="15" x14ac:dyDescent="0.2">
      <c r="E94" s="39" t="s">
        <v>123</v>
      </c>
      <c r="F94" s="39">
        <f t="shared" si="44"/>
        <v>1.3333333333333333E-3</v>
      </c>
      <c r="G94" s="39">
        <f t="shared" si="44"/>
        <v>8.4999999999999995E-4</v>
      </c>
      <c r="H94" s="39">
        <f t="shared" si="44"/>
        <v>7.8333333333333336E-4</v>
      </c>
      <c r="I94" s="39">
        <f t="shared" si="44"/>
        <v>0</v>
      </c>
      <c r="J94" s="39">
        <f t="shared" si="44"/>
        <v>0</v>
      </c>
      <c r="K94" s="39">
        <f t="shared" si="44"/>
        <v>0</v>
      </c>
      <c r="L94" s="39">
        <f t="shared" si="44"/>
        <v>0</v>
      </c>
      <c r="M94" s="39">
        <f t="shared" si="44"/>
        <v>0</v>
      </c>
      <c r="N94" s="3">
        <v>0.19</v>
      </c>
      <c r="O94" s="39">
        <f t="shared" si="45"/>
        <v>7.0175438596491221E-3</v>
      </c>
      <c r="P94" s="39">
        <f t="shared" si="46"/>
        <v>4.4736842105263155E-3</v>
      </c>
      <c r="Q94" s="39">
        <f t="shared" si="47"/>
        <v>0</v>
      </c>
      <c r="R94" s="39">
        <f t="shared" si="48"/>
        <v>0</v>
      </c>
    </row>
    <row r="95" spans="5:18" ht="15" x14ac:dyDescent="0.2">
      <c r="E95" s="39" t="s">
        <v>124</v>
      </c>
      <c r="F95" s="39">
        <f t="shared" si="44"/>
        <v>1.3833333333333333E-2</v>
      </c>
      <c r="G95" s="39">
        <f t="shared" si="44"/>
        <v>1.7666666666666667E-2</v>
      </c>
      <c r="H95" s="39">
        <f t="shared" si="44"/>
        <v>0</v>
      </c>
      <c r="I95" s="39">
        <f t="shared" si="44"/>
        <v>0</v>
      </c>
      <c r="J95" s="39">
        <f t="shared" si="44"/>
        <v>0</v>
      </c>
      <c r="K95" s="39">
        <f t="shared" si="44"/>
        <v>0</v>
      </c>
      <c r="L95" s="39">
        <f t="shared" si="44"/>
        <v>0</v>
      </c>
      <c r="M95" s="39">
        <f t="shared" si="44"/>
        <v>0</v>
      </c>
      <c r="N95" s="3">
        <v>6.5</v>
      </c>
      <c r="O95" s="39">
        <f t="shared" si="45"/>
        <v>2.7179487179487182E-3</v>
      </c>
      <c r="P95" s="39">
        <f t="shared" si="46"/>
        <v>2.7179487179487182E-3</v>
      </c>
      <c r="Q95" s="39">
        <f t="shared" si="47"/>
        <v>0</v>
      </c>
      <c r="R95" s="39">
        <f t="shared" si="48"/>
        <v>0</v>
      </c>
    </row>
    <row r="96" spans="5:18" ht="15" x14ac:dyDescent="0.2">
      <c r="E96" s="39" t="s">
        <v>125</v>
      </c>
      <c r="F96" s="39">
        <f t="shared" si="44"/>
        <v>0.46333333333333332</v>
      </c>
      <c r="G96" s="39">
        <f t="shared" si="44"/>
        <v>0.41166666666666668</v>
      </c>
      <c r="H96" s="39">
        <f t="shared" si="44"/>
        <v>0.28166666666666662</v>
      </c>
      <c r="I96" s="39">
        <f t="shared" si="44"/>
        <v>0.31833333333333336</v>
      </c>
      <c r="J96" s="39">
        <f t="shared" si="44"/>
        <v>6.1166666666666668E-2</v>
      </c>
      <c r="K96" s="39">
        <f t="shared" si="44"/>
        <v>0.10933333333333332</v>
      </c>
      <c r="L96" s="39">
        <f t="shared" si="44"/>
        <v>0.33666666666666667</v>
      </c>
      <c r="M96" s="39">
        <f t="shared" si="44"/>
        <v>0.16833333333333333</v>
      </c>
      <c r="N96" s="3">
        <v>20</v>
      </c>
      <c r="O96" s="39">
        <f t="shared" si="45"/>
        <v>2.3166666666666665E-2</v>
      </c>
      <c r="P96" s="39">
        <f t="shared" si="46"/>
        <v>2.0583333333333335E-2</v>
      </c>
      <c r="Q96" s="39">
        <f t="shared" si="47"/>
        <v>5.4666666666666665E-3</v>
      </c>
      <c r="R96" s="39">
        <f t="shared" si="48"/>
        <v>1.6833333333333332E-2</v>
      </c>
    </row>
    <row r="97" spans="5:18" ht="15" x14ac:dyDescent="0.2">
      <c r="E97" s="39" t="s">
        <v>126</v>
      </c>
      <c r="F97" s="39">
        <f t="shared" si="44"/>
        <v>2.2666666666666668E-2</v>
      </c>
      <c r="G97" s="39">
        <f t="shared" si="44"/>
        <v>2.5666666666666667E-2</v>
      </c>
      <c r="H97" s="39">
        <f t="shared" si="44"/>
        <v>0</v>
      </c>
      <c r="I97" s="39">
        <f t="shared" si="44"/>
        <v>0</v>
      </c>
      <c r="J97" s="39">
        <f t="shared" si="44"/>
        <v>0</v>
      </c>
      <c r="K97" s="39">
        <f t="shared" si="44"/>
        <v>0</v>
      </c>
      <c r="L97" s="39">
        <f t="shared" si="44"/>
        <v>0</v>
      </c>
      <c r="M97" s="39">
        <f t="shared" si="44"/>
        <v>0</v>
      </c>
      <c r="N97" s="3">
        <v>2.4</v>
      </c>
      <c r="O97" s="39">
        <f t="shared" si="45"/>
        <v>1.0694444444444446E-2</v>
      </c>
      <c r="P97" s="39">
        <f t="shared" si="46"/>
        <v>1.0694444444444446E-2</v>
      </c>
      <c r="Q97" s="39">
        <f t="shared" si="47"/>
        <v>0</v>
      </c>
      <c r="R97" s="39">
        <f t="shared" si="48"/>
        <v>0</v>
      </c>
    </row>
    <row r="98" spans="5:18" ht="15" x14ac:dyDescent="0.2">
      <c r="E98" s="39" t="s">
        <v>127</v>
      </c>
      <c r="F98" s="39">
        <f t="shared" si="44"/>
        <v>4.2499999999999996E-2</v>
      </c>
      <c r="G98" s="39">
        <f t="shared" si="44"/>
        <v>3.9833333333333339E-2</v>
      </c>
      <c r="H98" s="39">
        <f t="shared" si="44"/>
        <v>2.5333333333333333E-2</v>
      </c>
      <c r="I98" s="39">
        <f t="shared" si="44"/>
        <v>2.3666666666666666E-2</v>
      </c>
      <c r="J98" s="39">
        <f t="shared" si="44"/>
        <v>0</v>
      </c>
      <c r="K98" s="39">
        <f t="shared" si="44"/>
        <v>0</v>
      </c>
      <c r="L98" s="39">
        <f t="shared" si="44"/>
        <v>0</v>
      </c>
      <c r="M98" s="39">
        <f t="shared" si="44"/>
        <v>0</v>
      </c>
      <c r="N98" s="3">
        <v>5.6</v>
      </c>
      <c r="O98" s="39">
        <f t="shared" si="45"/>
        <v>7.5892857142857142E-3</v>
      </c>
      <c r="P98" s="39">
        <f t="shared" si="46"/>
        <v>7.1130952380952395E-3</v>
      </c>
      <c r="Q98" s="39">
        <f t="shared" si="47"/>
        <v>0</v>
      </c>
      <c r="R98" s="39">
        <f t="shared" si="48"/>
        <v>0</v>
      </c>
    </row>
    <row r="99" spans="5:18" ht="15" x14ac:dyDescent="0.2">
      <c r="E99" s="39" t="s">
        <v>1</v>
      </c>
      <c r="F99" s="39">
        <f t="shared" si="44"/>
        <v>13.283333333333333</v>
      </c>
      <c r="G99" s="39">
        <f t="shared" si="44"/>
        <v>0</v>
      </c>
      <c r="H99" s="39">
        <f t="shared" si="44"/>
        <v>0</v>
      </c>
      <c r="I99" s="39">
        <f t="shared" si="44"/>
        <v>0</v>
      </c>
      <c r="J99" s="39">
        <f t="shared" si="44"/>
        <v>0</v>
      </c>
      <c r="K99" s="39">
        <f t="shared" si="44"/>
        <v>0</v>
      </c>
      <c r="L99" s="39">
        <f t="shared" si="44"/>
        <v>0</v>
      </c>
      <c r="M99" s="39">
        <f t="shared" si="44"/>
        <v>0</v>
      </c>
      <c r="N99" s="3">
        <v>28</v>
      </c>
      <c r="O99" s="39">
        <f t="shared" si="45"/>
        <v>0.47440476190476188</v>
      </c>
      <c r="P99" s="39">
        <f t="shared" si="46"/>
        <v>0</v>
      </c>
      <c r="Q99" s="39">
        <f t="shared" si="47"/>
        <v>0</v>
      </c>
      <c r="R99" s="39">
        <f t="shared" si="48"/>
        <v>0</v>
      </c>
    </row>
    <row r="100" spans="5:18" ht="15" x14ac:dyDescent="0.2">
      <c r="E100" s="39" t="s">
        <v>0</v>
      </c>
      <c r="F100" s="39">
        <f t="shared" ref="F100:M100" si="49">F20/60</f>
        <v>0</v>
      </c>
      <c r="G100" s="39">
        <f t="shared" si="49"/>
        <v>0</v>
      </c>
      <c r="H100" s="39">
        <f t="shared" si="49"/>
        <v>0</v>
      </c>
      <c r="I100" s="39">
        <f t="shared" si="49"/>
        <v>0</v>
      </c>
      <c r="J100" s="39">
        <f t="shared" si="49"/>
        <v>0</v>
      </c>
      <c r="K100" s="39">
        <f t="shared" si="49"/>
        <v>0</v>
      </c>
      <c r="L100" s="39">
        <f t="shared" si="49"/>
        <v>0</v>
      </c>
      <c r="M100" s="39">
        <f t="shared" si="49"/>
        <v>0</v>
      </c>
      <c r="N100" s="3">
        <v>170</v>
      </c>
      <c r="O100" s="39">
        <f t="shared" si="45"/>
        <v>0</v>
      </c>
      <c r="P100" s="39">
        <f t="shared" si="46"/>
        <v>0</v>
      </c>
      <c r="Q100" s="39">
        <f t="shared" si="47"/>
        <v>0</v>
      </c>
      <c r="R100" s="39">
        <f t="shared" si="48"/>
        <v>0</v>
      </c>
    </row>
    <row r="101" spans="5:18" ht="16" x14ac:dyDescent="0.2">
      <c r="E101" s="95" t="s">
        <v>99</v>
      </c>
      <c r="F101" s="97" t="s">
        <v>128</v>
      </c>
      <c r="G101" s="98"/>
      <c r="H101" s="98"/>
      <c r="I101" s="98"/>
      <c r="J101" s="98"/>
      <c r="K101" s="98"/>
      <c r="L101" s="98"/>
      <c r="M101" s="98"/>
      <c r="N101" s="59" t="s">
        <v>104</v>
      </c>
      <c r="O101" s="47" t="s">
        <v>105</v>
      </c>
      <c r="P101" s="48" t="s">
        <v>106</v>
      </c>
      <c r="Q101" s="48" t="s">
        <v>107</v>
      </c>
      <c r="R101" s="49" t="s">
        <v>108</v>
      </c>
    </row>
    <row r="102" spans="5:18" ht="15" x14ac:dyDescent="0.2">
      <c r="E102" s="96"/>
      <c r="F102" s="61">
        <v>70</v>
      </c>
      <c r="G102" s="61">
        <v>70</v>
      </c>
      <c r="H102" s="61">
        <v>70</v>
      </c>
      <c r="I102" s="61">
        <v>70</v>
      </c>
      <c r="J102" s="61">
        <v>70</v>
      </c>
      <c r="K102" s="61">
        <v>70</v>
      </c>
      <c r="L102" s="61">
        <v>70</v>
      </c>
      <c r="M102" s="61">
        <v>70</v>
      </c>
      <c r="N102" s="60" t="s">
        <v>113</v>
      </c>
      <c r="O102" s="47" t="s">
        <v>27</v>
      </c>
      <c r="P102" s="48" t="s">
        <v>27</v>
      </c>
      <c r="Q102" s="48" t="s">
        <v>27</v>
      </c>
      <c r="R102" s="49" t="s">
        <v>27</v>
      </c>
    </row>
    <row r="103" spans="5:18" ht="15" x14ac:dyDescent="0.2">
      <c r="E103" s="39" t="s">
        <v>114</v>
      </c>
      <c r="F103" s="39">
        <v>0</v>
      </c>
      <c r="G103" s="39">
        <v>0</v>
      </c>
      <c r="H103" s="39">
        <v>0</v>
      </c>
      <c r="I103" s="39">
        <v>0</v>
      </c>
      <c r="J103" s="39">
        <v>0</v>
      </c>
      <c r="K103" s="39">
        <v>0</v>
      </c>
      <c r="L103" s="39">
        <f>L3/70</f>
        <v>9.7142857142857138E-5</v>
      </c>
      <c r="M103" s="39">
        <v>0</v>
      </c>
      <c r="N103" s="7">
        <v>5.7000000000000002E-2</v>
      </c>
      <c r="O103" s="39">
        <f>MAX(F103:G103)/N103</f>
        <v>0</v>
      </c>
      <c r="P103" s="39">
        <f>MAX(G103:H103)/N103</f>
        <v>0</v>
      </c>
      <c r="Q103" s="39">
        <f>MAX(J103:K103)/N103</f>
        <v>0</v>
      </c>
      <c r="R103" s="39">
        <f>MAX(L103:M103)/N103</f>
        <v>1.7042606516290725E-3</v>
      </c>
    </row>
    <row r="104" spans="5:18" ht="15" x14ac:dyDescent="0.2">
      <c r="E104" s="39" t="s">
        <v>115</v>
      </c>
      <c r="F104" s="39">
        <f t="shared" ref="F104:M119" si="50">F4/70</f>
        <v>0.13200000000000001</v>
      </c>
      <c r="G104" s="39">
        <f t="shared" si="50"/>
        <v>0.24857142857142855</v>
      </c>
      <c r="H104" s="39">
        <f t="shared" si="50"/>
        <v>7.857142857142857E-2</v>
      </c>
      <c r="I104" s="39">
        <f t="shared" si="50"/>
        <v>9.7428571428571434E-2</v>
      </c>
      <c r="J104" s="39">
        <f t="shared" si="50"/>
        <v>2.7714285714285712E-2</v>
      </c>
      <c r="K104" s="39">
        <f t="shared" si="50"/>
        <v>2.8999999999999998E-2</v>
      </c>
      <c r="L104" s="39">
        <f t="shared" si="50"/>
        <v>0.11557142857142857</v>
      </c>
      <c r="M104" s="39">
        <f>M4/70</f>
        <v>1.6142857142857143E-2</v>
      </c>
      <c r="N104" s="7">
        <v>114.7</v>
      </c>
      <c r="O104" s="39">
        <f t="shared" ref="O104:O120" si="51">MAX(F104:G104)/N104</f>
        <v>2.1671441026279736E-3</v>
      </c>
      <c r="P104" s="39">
        <f t="shared" ref="P104:P120" si="52">MAX(G104:H104)/N104</f>
        <v>2.1671441026279736E-3</v>
      </c>
      <c r="Q104" s="39">
        <f t="shared" ref="Q104:Q120" si="53">MAX(J104:K104)/N104</f>
        <v>2.528334786399302E-4</v>
      </c>
      <c r="R104" s="39">
        <f t="shared" ref="R104:R120" si="54">MAX(L104:M104)/N104</f>
        <v>1.0075974592103625E-3</v>
      </c>
    </row>
    <row r="105" spans="5:18" ht="15" x14ac:dyDescent="0.2">
      <c r="E105" s="39" t="s">
        <v>116</v>
      </c>
      <c r="F105" s="39">
        <f t="shared" si="50"/>
        <v>1.3571428571428572</v>
      </c>
      <c r="G105" s="39">
        <f t="shared" si="50"/>
        <v>2.0428571428571427</v>
      </c>
      <c r="H105" s="39">
        <f t="shared" si="50"/>
        <v>1.0857142857142856</v>
      </c>
      <c r="I105" s="39">
        <f t="shared" si="50"/>
        <v>1.0428571428571429</v>
      </c>
      <c r="J105" s="39">
        <f t="shared" si="50"/>
        <v>0.4</v>
      </c>
      <c r="K105" s="39">
        <f t="shared" si="50"/>
        <v>0.32857142857142857</v>
      </c>
      <c r="L105" s="39">
        <f t="shared" si="50"/>
        <v>0.45714285714285713</v>
      </c>
      <c r="M105" s="39">
        <f t="shared" si="50"/>
        <v>0.5</v>
      </c>
      <c r="N105" s="6">
        <v>2900</v>
      </c>
      <c r="O105" s="39">
        <f t="shared" si="51"/>
        <v>7.0443349753694575E-4</v>
      </c>
      <c r="P105" s="39">
        <f t="shared" si="52"/>
        <v>7.0443349753694575E-4</v>
      </c>
      <c r="Q105" s="39">
        <f t="shared" si="53"/>
        <v>1.3793103448275863E-4</v>
      </c>
      <c r="R105" s="39">
        <f t="shared" si="54"/>
        <v>1.7241379310344826E-4</v>
      </c>
    </row>
    <row r="106" spans="5:18" ht="15" x14ac:dyDescent="0.2">
      <c r="E106" s="39" t="s">
        <v>117</v>
      </c>
      <c r="F106" s="39">
        <f t="shared" si="50"/>
        <v>3.7714285714285714E-2</v>
      </c>
      <c r="G106" s="39">
        <f t="shared" si="50"/>
        <v>3.1285714285714285E-2</v>
      </c>
      <c r="H106" s="39">
        <f t="shared" si="50"/>
        <v>2.5857142857142856E-2</v>
      </c>
      <c r="I106" s="39">
        <f t="shared" si="50"/>
        <v>2.3714285714285712E-2</v>
      </c>
      <c r="J106" s="39">
        <f t="shared" si="50"/>
        <v>1.0428571428571428E-2</v>
      </c>
      <c r="K106" s="39">
        <f t="shared" si="50"/>
        <v>0</v>
      </c>
      <c r="L106" s="39">
        <f t="shared" si="50"/>
        <v>0</v>
      </c>
      <c r="M106" s="39">
        <f t="shared" si="50"/>
        <v>0</v>
      </c>
      <c r="N106" s="3">
        <v>1.06</v>
      </c>
      <c r="O106" s="39">
        <f t="shared" si="51"/>
        <v>3.5579514824797841E-2</v>
      </c>
      <c r="P106" s="39">
        <f t="shared" si="52"/>
        <v>2.9514824797843665E-2</v>
      </c>
      <c r="Q106" s="39">
        <f t="shared" si="53"/>
        <v>9.8382749326145543E-3</v>
      </c>
      <c r="R106" s="39">
        <f t="shared" si="54"/>
        <v>0</v>
      </c>
    </row>
    <row r="107" spans="5:18" ht="15" x14ac:dyDescent="0.2">
      <c r="E107" s="39" t="s">
        <v>118</v>
      </c>
      <c r="F107" s="39">
        <f t="shared" si="50"/>
        <v>0.91428571428571426</v>
      </c>
      <c r="G107" s="39">
        <f t="shared" si="50"/>
        <v>0.92999999999999994</v>
      </c>
      <c r="H107" s="39">
        <f t="shared" si="50"/>
        <v>0.25428571428571428</v>
      </c>
      <c r="I107" s="39">
        <f t="shared" si="50"/>
        <v>0.60571428571428565</v>
      </c>
      <c r="J107" s="39">
        <f t="shared" si="50"/>
        <v>0.26714285714285713</v>
      </c>
      <c r="K107" s="39">
        <f t="shared" si="50"/>
        <v>0.29714285714285715</v>
      </c>
      <c r="L107" s="39">
        <f t="shared" si="50"/>
        <v>0.20142857142857143</v>
      </c>
      <c r="M107" s="39">
        <f t="shared" si="50"/>
        <v>0.21857142857142858</v>
      </c>
      <c r="N107" s="3">
        <v>6.3</v>
      </c>
      <c r="O107" s="39">
        <f t="shared" si="51"/>
        <v>0.14761904761904762</v>
      </c>
      <c r="P107" s="39">
        <f t="shared" si="52"/>
        <v>0.14761904761904762</v>
      </c>
      <c r="Q107" s="39">
        <f t="shared" si="53"/>
        <v>4.7165532879818596E-2</v>
      </c>
      <c r="R107" s="39">
        <f t="shared" si="54"/>
        <v>3.4693877551020408E-2</v>
      </c>
    </row>
    <row r="108" spans="5:18" ht="15" x14ac:dyDescent="0.2">
      <c r="E108" s="39" t="s">
        <v>16</v>
      </c>
      <c r="F108" s="39">
        <f t="shared" si="50"/>
        <v>0</v>
      </c>
      <c r="G108" s="39">
        <f t="shared" si="50"/>
        <v>0</v>
      </c>
      <c r="H108" s="39">
        <f t="shared" si="50"/>
        <v>0</v>
      </c>
      <c r="I108" s="39">
        <f t="shared" si="50"/>
        <v>0</v>
      </c>
      <c r="J108" s="39">
        <f t="shared" si="50"/>
        <v>0</v>
      </c>
      <c r="K108" s="39">
        <f t="shared" si="50"/>
        <v>0</v>
      </c>
      <c r="L108" s="39">
        <f t="shared" si="50"/>
        <v>0</v>
      </c>
      <c r="M108" s="39">
        <f t="shared" si="50"/>
        <v>0</v>
      </c>
      <c r="N108" s="3">
        <v>1650</v>
      </c>
      <c r="O108" s="39">
        <f t="shared" si="51"/>
        <v>0</v>
      </c>
      <c r="P108" s="39">
        <f t="shared" si="52"/>
        <v>0</v>
      </c>
      <c r="Q108" s="39">
        <f t="shared" si="53"/>
        <v>0</v>
      </c>
      <c r="R108" s="39">
        <f t="shared" si="54"/>
        <v>0</v>
      </c>
    </row>
    <row r="109" spans="5:18" ht="15" x14ac:dyDescent="0.2">
      <c r="E109" s="39" t="s">
        <v>119</v>
      </c>
      <c r="F109" s="39">
        <f t="shared" si="50"/>
        <v>5.2571428571428571</v>
      </c>
      <c r="G109" s="39">
        <f t="shared" si="50"/>
        <v>5.3285714285714283</v>
      </c>
      <c r="H109" s="39">
        <f t="shared" si="50"/>
        <v>4.0714285714285712</v>
      </c>
      <c r="I109" s="39">
        <f t="shared" si="50"/>
        <v>4.6142857142857139</v>
      </c>
      <c r="J109" s="39">
        <f t="shared" si="50"/>
        <v>1.5285714285714285</v>
      </c>
      <c r="K109" s="39">
        <f t="shared" si="50"/>
        <v>1.5142857142857142</v>
      </c>
      <c r="L109" s="39">
        <f t="shared" si="50"/>
        <v>0.73714285714285721</v>
      </c>
      <c r="M109" s="39">
        <f t="shared" si="50"/>
        <v>0.72428571428571431</v>
      </c>
      <c r="N109" s="3">
        <v>34</v>
      </c>
      <c r="O109" s="39">
        <f t="shared" si="51"/>
        <v>0.15672268907563025</v>
      </c>
      <c r="P109" s="39">
        <f t="shared" si="52"/>
        <v>0.15672268907563025</v>
      </c>
      <c r="Q109" s="39">
        <f t="shared" si="53"/>
        <v>4.4957983193277311E-2</v>
      </c>
      <c r="R109" s="39">
        <f t="shared" si="54"/>
        <v>2.1680672268907564E-2</v>
      </c>
    </row>
    <row r="110" spans="5:18" ht="15" x14ac:dyDescent="0.2">
      <c r="E110" s="39" t="s">
        <v>120</v>
      </c>
      <c r="F110" s="39">
        <f t="shared" si="50"/>
        <v>0</v>
      </c>
      <c r="G110" s="39">
        <f t="shared" si="50"/>
        <v>0</v>
      </c>
      <c r="H110" s="39">
        <f t="shared" si="50"/>
        <v>0</v>
      </c>
      <c r="I110" s="39">
        <f t="shared" si="50"/>
        <v>0</v>
      </c>
      <c r="J110" s="39">
        <f t="shared" si="50"/>
        <v>0</v>
      </c>
      <c r="K110" s="39">
        <f t="shared" si="50"/>
        <v>0</v>
      </c>
      <c r="L110" s="39">
        <f t="shared" si="50"/>
        <v>0</v>
      </c>
      <c r="M110" s="39">
        <f t="shared" si="50"/>
        <v>0</v>
      </c>
      <c r="N110" s="3">
        <v>11900</v>
      </c>
      <c r="O110" s="39">
        <f t="shared" si="51"/>
        <v>0</v>
      </c>
      <c r="P110" s="39">
        <f t="shared" si="52"/>
        <v>0</v>
      </c>
      <c r="Q110" s="39">
        <f t="shared" si="53"/>
        <v>0</v>
      </c>
      <c r="R110" s="39">
        <f t="shared" si="54"/>
        <v>0</v>
      </c>
    </row>
    <row r="111" spans="5:18" ht="15" x14ac:dyDescent="0.2">
      <c r="E111" s="39" t="s">
        <v>11</v>
      </c>
      <c r="F111" s="39">
        <f t="shared" si="50"/>
        <v>0</v>
      </c>
      <c r="G111" s="39">
        <f t="shared" si="50"/>
        <v>0</v>
      </c>
      <c r="H111" s="39">
        <f t="shared" si="50"/>
        <v>0</v>
      </c>
      <c r="I111" s="39">
        <f t="shared" si="50"/>
        <v>0</v>
      </c>
      <c r="J111" s="39">
        <f t="shared" si="50"/>
        <v>0</v>
      </c>
      <c r="K111" s="39">
        <f t="shared" si="50"/>
        <v>0</v>
      </c>
      <c r="L111" s="39">
        <f t="shared" si="50"/>
        <v>0</v>
      </c>
      <c r="M111" s="39">
        <f t="shared" si="50"/>
        <v>0</v>
      </c>
      <c r="N111" s="3">
        <v>37</v>
      </c>
      <c r="O111" s="39">
        <f t="shared" si="51"/>
        <v>0</v>
      </c>
      <c r="P111" s="39">
        <f t="shared" si="52"/>
        <v>0</v>
      </c>
      <c r="Q111" s="39">
        <f t="shared" si="53"/>
        <v>0</v>
      </c>
      <c r="R111" s="39">
        <f t="shared" si="54"/>
        <v>0</v>
      </c>
    </row>
    <row r="112" spans="5:18" ht="15" x14ac:dyDescent="0.2">
      <c r="E112" s="39" t="s">
        <v>121</v>
      </c>
      <c r="F112" s="39">
        <f t="shared" si="50"/>
        <v>3.4285714285714287E-2</v>
      </c>
      <c r="G112" s="39">
        <f t="shared" si="50"/>
        <v>3.2857142857142856E-2</v>
      </c>
      <c r="H112" s="39">
        <f t="shared" si="50"/>
        <v>2.4285714285714285E-2</v>
      </c>
      <c r="I112" s="39">
        <f t="shared" si="50"/>
        <v>2.2857142857142857E-2</v>
      </c>
      <c r="J112" s="39">
        <f t="shared" si="50"/>
        <v>0</v>
      </c>
      <c r="K112" s="39">
        <f t="shared" si="50"/>
        <v>0</v>
      </c>
      <c r="L112" s="39">
        <f t="shared" si="50"/>
        <v>0</v>
      </c>
      <c r="M112" s="39">
        <f t="shared" si="50"/>
        <v>0</v>
      </c>
      <c r="N112" s="3">
        <v>4.0999999999999996</v>
      </c>
      <c r="O112" s="39">
        <f t="shared" si="51"/>
        <v>8.3623693379790958E-3</v>
      </c>
      <c r="P112" s="39">
        <f t="shared" si="52"/>
        <v>8.0139372822299656E-3</v>
      </c>
      <c r="Q112" s="39">
        <f t="shared" si="53"/>
        <v>0</v>
      </c>
      <c r="R112" s="39">
        <f t="shared" si="54"/>
        <v>0</v>
      </c>
    </row>
    <row r="113" spans="5:18" ht="15" x14ac:dyDescent="0.2">
      <c r="E113" s="39" t="s">
        <v>122</v>
      </c>
      <c r="F113" s="39">
        <f t="shared" si="50"/>
        <v>12.628571428571428</v>
      </c>
      <c r="G113" s="39">
        <f t="shared" si="50"/>
        <v>8.7857142857142865</v>
      </c>
      <c r="H113" s="39">
        <f t="shared" si="50"/>
        <v>9.9857142857142858</v>
      </c>
      <c r="I113" s="39">
        <f t="shared" si="50"/>
        <v>8.9714285714285715</v>
      </c>
      <c r="J113" s="39">
        <f t="shared" si="50"/>
        <v>4.9142857142857146</v>
      </c>
      <c r="K113" s="39">
        <f t="shared" si="50"/>
        <v>4.5</v>
      </c>
      <c r="L113" s="39">
        <f t="shared" si="50"/>
        <v>3.7714285714285714</v>
      </c>
      <c r="M113" s="39">
        <f t="shared" si="50"/>
        <v>2.9</v>
      </c>
      <c r="N113" s="3">
        <v>14.4</v>
      </c>
      <c r="O113" s="39">
        <f t="shared" si="51"/>
        <v>0.87698412698412698</v>
      </c>
      <c r="P113" s="39">
        <f t="shared" si="52"/>
        <v>0.69345238095238093</v>
      </c>
      <c r="Q113" s="39">
        <f t="shared" si="53"/>
        <v>0.34126984126984128</v>
      </c>
      <c r="R113" s="39">
        <f t="shared" si="54"/>
        <v>0.26190476190476192</v>
      </c>
    </row>
    <row r="114" spans="5:18" ht="15" x14ac:dyDescent="0.2">
      <c r="E114" s="39" t="s">
        <v>123</v>
      </c>
      <c r="F114" s="39">
        <f t="shared" si="50"/>
        <v>1.1428571428571429E-3</v>
      </c>
      <c r="G114" s="39">
        <f t="shared" si="50"/>
        <v>7.2857142857142858E-4</v>
      </c>
      <c r="H114" s="39">
        <f t="shared" si="50"/>
        <v>6.7142857142857141E-4</v>
      </c>
      <c r="I114" s="39">
        <f t="shared" si="50"/>
        <v>0</v>
      </c>
      <c r="J114" s="39">
        <f t="shared" si="50"/>
        <v>0</v>
      </c>
      <c r="K114" s="39">
        <f t="shared" si="50"/>
        <v>0</v>
      </c>
      <c r="L114" s="39">
        <f t="shared" si="50"/>
        <v>0</v>
      </c>
      <c r="M114" s="39">
        <f t="shared" si="50"/>
        <v>0</v>
      </c>
      <c r="N114" s="3">
        <v>0.19</v>
      </c>
      <c r="O114" s="39">
        <f t="shared" si="51"/>
        <v>6.0150375939849628E-3</v>
      </c>
      <c r="P114" s="39">
        <f t="shared" si="52"/>
        <v>3.8345864661654136E-3</v>
      </c>
      <c r="Q114" s="39">
        <f t="shared" si="53"/>
        <v>0</v>
      </c>
      <c r="R114" s="39">
        <f t="shared" si="54"/>
        <v>0</v>
      </c>
    </row>
    <row r="115" spans="5:18" ht="15" x14ac:dyDescent="0.2">
      <c r="E115" s="39" t="s">
        <v>124</v>
      </c>
      <c r="F115" s="39">
        <f t="shared" si="50"/>
        <v>1.1857142857142856E-2</v>
      </c>
      <c r="G115" s="39">
        <f t="shared" si="50"/>
        <v>1.5142857142857144E-2</v>
      </c>
      <c r="H115" s="39">
        <f t="shared" si="50"/>
        <v>0</v>
      </c>
      <c r="I115" s="39">
        <f t="shared" si="50"/>
        <v>0</v>
      </c>
      <c r="J115" s="39">
        <f t="shared" si="50"/>
        <v>0</v>
      </c>
      <c r="K115" s="39">
        <f t="shared" si="50"/>
        <v>0</v>
      </c>
      <c r="L115" s="39">
        <f t="shared" si="50"/>
        <v>0</v>
      </c>
      <c r="M115" s="39">
        <f t="shared" si="50"/>
        <v>0</v>
      </c>
      <c r="N115" s="3">
        <v>6.5</v>
      </c>
      <c r="O115" s="39">
        <f t="shared" si="51"/>
        <v>2.3296703296703299E-3</v>
      </c>
      <c r="P115" s="39">
        <f t="shared" si="52"/>
        <v>2.3296703296703299E-3</v>
      </c>
      <c r="Q115" s="39">
        <f t="shared" si="53"/>
        <v>0</v>
      </c>
      <c r="R115" s="39">
        <f t="shared" si="54"/>
        <v>0</v>
      </c>
    </row>
    <row r="116" spans="5:18" ht="15" x14ac:dyDescent="0.2">
      <c r="E116" s="39" t="s">
        <v>125</v>
      </c>
      <c r="F116" s="39">
        <f t="shared" si="50"/>
        <v>0.39714285714285713</v>
      </c>
      <c r="G116" s="39">
        <f t="shared" si="50"/>
        <v>0.35285714285714287</v>
      </c>
      <c r="H116" s="39">
        <f t="shared" si="50"/>
        <v>0.24142857142857141</v>
      </c>
      <c r="I116" s="39">
        <f t="shared" si="50"/>
        <v>0.27285714285714285</v>
      </c>
      <c r="J116" s="39">
        <f t="shared" si="50"/>
        <v>5.2428571428571429E-2</v>
      </c>
      <c r="K116" s="39">
        <f t="shared" si="50"/>
        <v>9.3714285714285708E-2</v>
      </c>
      <c r="L116" s="39">
        <f t="shared" si="50"/>
        <v>0.28857142857142853</v>
      </c>
      <c r="M116" s="39">
        <f t="shared" si="50"/>
        <v>0.14428571428571427</v>
      </c>
      <c r="N116" s="3">
        <v>20</v>
      </c>
      <c r="O116" s="39">
        <f t="shared" si="51"/>
        <v>1.9857142857142858E-2</v>
      </c>
      <c r="P116" s="39">
        <f t="shared" si="52"/>
        <v>1.7642857142857144E-2</v>
      </c>
      <c r="Q116" s="39">
        <f t="shared" si="53"/>
        <v>4.6857142857142852E-3</v>
      </c>
      <c r="R116" s="39">
        <f t="shared" si="54"/>
        <v>1.4428571428571426E-2</v>
      </c>
    </row>
    <row r="117" spans="5:18" ht="15" x14ac:dyDescent="0.2">
      <c r="E117" s="39" t="s">
        <v>126</v>
      </c>
      <c r="F117" s="39">
        <f t="shared" si="50"/>
        <v>1.942857142857143E-2</v>
      </c>
      <c r="G117" s="39">
        <f t="shared" si="50"/>
        <v>2.2000000000000002E-2</v>
      </c>
      <c r="H117" s="39">
        <f t="shared" si="50"/>
        <v>0</v>
      </c>
      <c r="I117" s="39">
        <f t="shared" si="50"/>
        <v>0</v>
      </c>
      <c r="J117" s="39">
        <f t="shared" si="50"/>
        <v>0</v>
      </c>
      <c r="K117" s="39">
        <f t="shared" si="50"/>
        <v>0</v>
      </c>
      <c r="L117" s="39">
        <f t="shared" si="50"/>
        <v>0</v>
      </c>
      <c r="M117" s="39">
        <f t="shared" si="50"/>
        <v>0</v>
      </c>
      <c r="N117" s="3">
        <v>2.4</v>
      </c>
      <c r="O117" s="39">
        <f t="shared" si="51"/>
        <v>9.1666666666666684E-3</v>
      </c>
      <c r="P117" s="39">
        <f t="shared" si="52"/>
        <v>9.1666666666666684E-3</v>
      </c>
      <c r="Q117" s="39">
        <f t="shared" si="53"/>
        <v>0</v>
      </c>
      <c r="R117" s="39">
        <f t="shared" si="54"/>
        <v>0</v>
      </c>
    </row>
    <row r="118" spans="5:18" ht="15" x14ac:dyDescent="0.2">
      <c r="E118" s="39" t="s">
        <v>127</v>
      </c>
      <c r="F118" s="39">
        <f t="shared" si="50"/>
        <v>3.6428571428571428E-2</v>
      </c>
      <c r="G118" s="39">
        <f t="shared" si="50"/>
        <v>3.4142857142857141E-2</v>
      </c>
      <c r="H118" s="39">
        <f t="shared" si="50"/>
        <v>2.1714285714285714E-2</v>
      </c>
      <c r="I118" s="39">
        <f t="shared" si="50"/>
        <v>2.0285714285714285E-2</v>
      </c>
      <c r="J118" s="39">
        <f t="shared" si="50"/>
        <v>0</v>
      </c>
      <c r="K118" s="39">
        <f t="shared" si="50"/>
        <v>0</v>
      </c>
      <c r="L118" s="39">
        <f t="shared" si="50"/>
        <v>0</v>
      </c>
      <c r="M118" s="39">
        <f t="shared" si="50"/>
        <v>0</v>
      </c>
      <c r="N118" s="3">
        <v>5.6</v>
      </c>
      <c r="O118" s="39">
        <f t="shared" si="51"/>
        <v>6.5051020408163265E-3</v>
      </c>
      <c r="P118" s="39">
        <f t="shared" si="52"/>
        <v>6.0969387755102043E-3</v>
      </c>
      <c r="Q118" s="39">
        <f t="shared" si="53"/>
        <v>0</v>
      </c>
      <c r="R118" s="39">
        <f t="shared" si="54"/>
        <v>0</v>
      </c>
    </row>
    <row r="119" spans="5:18" ht="15" x14ac:dyDescent="0.2">
      <c r="E119" s="39" t="s">
        <v>1</v>
      </c>
      <c r="F119" s="39">
        <f t="shared" si="50"/>
        <v>11.385714285714286</v>
      </c>
      <c r="G119" s="39">
        <f t="shared" si="50"/>
        <v>0</v>
      </c>
      <c r="H119" s="39">
        <f t="shared" si="50"/>
        <v>0</v>
      </c>
      <c r="I119" s="39">
        <f t="shared" si="50"/>
        <v>0</v>
      </c>
      <c r="J119" s="39">
        <f t="shared" si="50"/>
        <v>0</v>
      </c>
      <c r="K119" s="39">
        <f t="shared" si="50"/>
        <v>0</v>
      </c>
      <c r="L119" s="39">
        <f t="shared" si="50"/>
        <v>0</v>
      </c>
      <c r="M119" s="39">
        <f t="shared" si="50"/>
        <v>0</v>
      </c>
      <c r="N119" s="3">
        <v>28</v>
      </c>
      <c r="O119" s="39">
        <f t="shared" si="51"/>
        <v>0.40663265306122448</v>
      </c>
      <c r="P119" s="39">
        <f t="shared" si="52"/>
        <v>0</v>
      </c>
      <c r="Q119" s="39">
        <f t="shared" si="53"/>
        <v>0</v>
      </c>
      <c r="R119" s="39">
        <f t="shared" si="54"/>
        <v>0</v>
      </c>
    </row>
    <row r="120" spans="5:18" ht="15" x14ac:dyDescent="0.2">
      <c r="E120" s="39" t="s">
        <v>0</v>
      </c>
      <c r="F120" s="39">
        <f t="shared" ref="F120:M120" si="55">F20/70</f>
        <v>0</v>
      </c>
      <c r="G120" s="39">
        <f t="shared" si="55"/>
        <v>0</v>
      </c>
      <c r="H120" s="39">
        <f t="shared" si="55"/>
        <v>0</v>
      </c>
      <c r="I120" s="39">
        <f t="shared" si="55"/>
        <v>0</v>
      </c>
      <c r="J120" s="39">
        <f t="shared" si="55"/>
        <v>0</v>
      </c>
      <c r="K120" s="39">
        <f t="shared" si="55"/>
        <v>0</v>
      </c>
      <c r="L120" s="39">
        <f t="shared" si="55"/>
        <v>0</v>
      </c>
      <c r="M120" s="39">
        <f t="shared" si="55"/>
        <v>0</v>
      </c>
      <c r="N120" s="3">
        <v>170</v>
      </c>
      <c r="O120" s="39">
        <f t="shared" si="51"/>
        <v>0</v>
      </c>
      <c r="P120" s="39">
        <f t="shared" si="52"/>
        <v>0</v>
      </c>
      <c r="Q120" s="39">
        <f t="shared" si="53"/>
        <v>0</v>
      </c>
      <c r="R120" s="39">
        <f t="shared" si="54"/>
        <v>0</v>
      </c>
    </row>
    <row r="121" spans="5:18" ht="16" x14ac:dyDescent="0.2">
      <c r="E121" s="95" t="s">
        <v>99</v>
      </c>
      <c r="F121" s="97" t="s">
        <v>128</v>
      </c>
      <c r="G121" s="98"/>
      <c r="H121" s="98"/>
      <c r="I121" s="98"/>
      <c r="J121" s="98"/>
      <c r="K121" s="98"/>
      <c r="L121" s="98"/>
      <c r="M121" s="98"/>
      <c r="N121" s="59" t="s">
        <v>104</v>
      </c>
      <c r="O121" s="47" t="s">
        <v>105</v>
      </c>
      <c r="P121" s="48" t="s">
        <v>106</v>
      </c>
      <c r="Q121" s="48" t="s">
        <v>107</v>
      </c>
      <c r="R121" s="49" t="s">
        <v>108</v>
      </c>
    </row>
    <row r="122" spans="5:18" ht="15" x14ac:dyDescent="0.2">
      <c r="E122" s="96"/>
      <c r="F122" s="61">
        <v>80</v>
      </c>
      <c r="G122" s="61">
        <v>80</v>
      </c>
      <c r="H122" s="61">
        <v>80</v>
      </c>
      <c r="I122" s="61">
        <v>80</v>
      </c>
      <c r="J122" s="61">
        <v>80</v>
      </c>
      <c r="K122" s="61">
        <v>80</v>
      </c>
      <c r="L122" s="61">
        <v>80</v>
      </c>
      <c r="M122" s="61">
        <v>80</v>
      </c>
      <c r="N122" s="60" t="s">
        <v>113</v>
      </c>
      <c r="O122" s="47" t="s">
        <v>27</v>
      </c>
      <c r="P122" s="48" t="s">
        <v>27</v>
      </c>
      <c r="Q122" s="48" t="s">
        <v>27</v>
      </c>
      <c r="R122" s="49" t="s">
        <v>27</v>
      </c>
    </row>
    <row r="123" spans="5:18" ht="15" x14ac:dyDescent="0.2">
      <c r="E123" s="39" t="s">
        <v>114</v>
      </c>
      <c r="F123" s="39">
        <v>0</v>
      </c>
      <c r="G123" s="39">
        <v>0</v>
      </c>
      <c r="H123" s="39">
        <v>0</v>
      </c>
      <c r="I123" s="39">
        <v>0</v>
      </c>
      <c r="J123" s="39">
        <v>0</v>
      </c>
      <c r="K123" s="39">
        <v>0</v>
      </c>
      <c r="L123" s="39">
        <f>L3/$L$122</f>
        <v>8.4999999999999993E-5</v>
      </c>
      <c r="M123" s="39">
        <v>0</v>
      </c>
      <c r="N123" s="7">
        <v>5.7000000000000002E-2</v>
      </c>
      <c r="O123" s="39">
        <f>MAX(F123:G123)/N123</f>
        <v>0</v>
      </c>
      <c r="P123" s="39">
        <f>MAX(G123:H123)/N123</f>
        <v>0</v>
      </c>
      <c r="Q123" s="39">
        <f>MAX(J123:K123)/N123</f>
        <v>0</v>
      </c>
      <c r="R123" s="39">
        <f>MAX(L123:M123)/N123</f>
        <v>1.4912280701754384E-3</v>
      </c>
    </row>
    <row r="124" spans="5:18" ht="15" x14ac:dyDescent="0.2">
      <c r="E124" s="39" t="s">
        <v>115</v>
      </c>
      <c r="F124" s="39">
        <f>F4/$F$122</f>
        <v>0.11550000000000001</v>
      </c>
      <c r="G124" s="39">
        <f>G4/$G$122</f>
        <v>0.21749999999999997</v>
      </c>
      <c r="H124" s="39">
        <f>H4/$H$122</f>
        <v>6.8750000000000006E-2</v>
      </c>
      <c r="I124" s="39">
        <f>I4/$I$122</f>
        <v>8.5250000000000006E-2</v>
      </c>
      <c r="J124" s="39">
        <f>J4/$J$122</f>
        <v>2.4250000000000001E-2</v>
      </c>
      <c r="K124" s="39">
        <f>K4/$K$122</f>
        <v>2.5374999999999998E-2</v>
      </c>
      <c r="L124" s="39">
        <f t="shared" ref="L124:L140" si="56">L4/$L$122</f>
        <v>0.10112499999999999</v>
      </c>
      <c r="M124" s="39">
        <f>M4/$M$122</f>
        <v>1.4124999999999999E-2</v>
      </c>
      <c r="N124" s="7">
        <v>114.7</v>
      </c>
      <c r="O124" s="39">
        <f t="shared" ref="O124:O140" si="57">MAX(F124:G124)/N124</f>
        <v>1.8962510897994765E-3</v>
      </c>
      <c r="P124" s="39">
        <f t="shared" ref="P124:P140" si="58">MAX(G124:H124)/N124</f>
        <v>1.8962510897994765E-3</v>
      </c>
      <c r="Q124" s="39">
        <f t="shared" ref="Q124:Q140" si="59">MAX(J124:K124)/N124</f>
        <v>2.2122929380993895E-4</v>
      </c>
      <c r="R124" s="39">
        <f t="shared" ref="R124:R140" si="60">MAX(L124:M124)/N124</f>
        <v>8.8164777680906699E-4</v>
      </c>
    </row>
    <row r="125" spans="5:18" ht="15" x14ac:dyDescent="0.2">
      <c r="E125" s="39" t="s">
        <v>116</v>
      </c>
      <c r="F125" s="39">
        <f t="shared" ref="F125:F140" si="61">F5/$F$122</f>
        <v>1.1875</v>
      </c>
      <c r="G125" s="39">
        <f t="shared" ref="G125:G140" si="62">G5/$G$122</f>
        <v>1.7875000000000001</v>
      </c>
      <c r="H125" s="39">
        <f t="shared" ref="H125:H140" si="63">H5/$H$122</f>
        <v>0.95</v>
      </c>
      <c r="I125" s="39">
        <f t="shared" ref="I125:I140" si="64">I5/$I$122</f>
        <v>0.91249999999999998</v>
      </c>
      <c r="J125" s="39">
        <f t="shared" ref="J125:J140" si="65">J5/$J$122</f>
        <v>0.35</v>
      </c>
      <c r="K125" s="39">
        <f t="shared" ref="K125:K140" si="66">K5/$K$122</f>
        <v>0.28749999999999998</v>
      </c>
      <c r="L125" s="39">
        <f t="shared" si="56"/>
        <v>0.4</v>
      </c>
      <c r="M125" s="39">
        <f t="shared" ref="M125:M140" si="67">M5/$M$122</f>
        <v>0.4375</v>
      </c>
      <c r="N125" s="6">
        <v>2900</v>
      </c>
      <c r="O125" s="39">
        <f t="shared" si="57"/>
        <v>6.1637931034482765E-4</v>
      </c>
      <c r="P125" s="39">
        <f t="shared" si="58"/>
        <v>6.1637931034482765E-4</v>
      </c>
      <c r="Q125" s="39">
        <f t="shared" si="59"/>
        <v>1.2068965517241378E-4</v>
      </c>
      <c r="R125" s="39">
        <f t="shared" si="60"/>
        <v>1.5086206896551725E-4</v>
      </c>
    </row>
    <row r="126" spans="5:18" ht="15" x14ac:dyDescent="0.2">
      <c r="E126" s="39" t="s">
        <v>117</v>
      </c>
      <c r="F126" s="39">
        <f t="shared" si="61"/>
        <v>3.3000000000000002E-2</v>
      </c>
      <c r="G126" s="39">
        <f t="shared" si="62"/>
        <v>2.7375E-2</v>
      </c>
      <c r="H126" s="39">
        <f t="shared" si="63"/>
        <v>2.2624999999999999E-2</v>
      </c>
      <c r="I126" s="39">
        <f t="shared" si="64"/>
        <v>2.0749999999999998E-2</v>
      </c>
      <c r="J126" s="39">
        <f t="shared" si="65"/>
        <v>9.1249999999999994E-3</v>
      </c>
      <c r="K126" s="39">
        <f t="shared" si="66"/>
        <v>0</v>
      </c>
      <c r="L126" s="39">
        <f t="shared" si="56"/>
        <v>0</v>
      </c>
      <c r="M126" s="39">
        <f t="shared" si="67"/>
        <v>0</v>
      </c>
      <c r="N126" s="3">
        <v>1.06</v>
      </c>
      <c r="O126" s="39">
        <f t="shared" si="57"/>
        <v>3.1132075471698113E-2</v>
      </c>
      <c r="P126" s="39">
        <f t="shared" si="58"/>
        <v>2.5825471698113205E-2</v>
      </c>
      <c r="Q126" s="39">
        <f t="shared" si="59"/>
        <v>8.6084905660377357E-3</v>
      </c>
      <c r="R126" s="39">
        <f t="shared" si="60"/>
        <v>0</v>
      </c>
    </row>
    <row r="127" spans="5:18" ht="15" x14ac:dyDescent="0.2">
      <c r="E127" s="39" t="s">
        <v>118</v>
      </c>
      <c r="F127" s="39">
        <f t="shared" si="61"/>
        <v>0.8</v>
      </c>
      <c r="G127" s="39">
        <f t="shared" si="62"/>
        <v>0.81374999999999997</v>
      </c>
      <c r="H127" s="39">
        <f t="shared" si="63"/>
        <v>0.2225</v>
      </c>
      <c r="I127" s="39">
        <f t="shared" si="64"/>
        <v>0.53</v>
      </c>
      <c r="J127" s="39">
        <f t="shared" si="65"/>
        <v>0.23374999999999999</v>
      </c>
      <c r="K127" s="39">
        <f t="shared" si="66"/>
        <v>0.26</v>
      </c>
      <c r="L127" s="39">
        <f t="shared" si="56"/>
        <v>0.17624999999999999</v>
      </c>
      <c r="M127" s="39">
        <f t="shared" si="67"/>
        <v>0.19125</v>
      </c>
      <c r="N127" s="3">
        <v>6.3</v>
      </c>
      <c r="O127" s="39">
        <f t="shared" si="57"/>
        <v>0.12916666666666668</v>
      </c>
      <c r="P127" s="39">
        <f t="shared" si="58"/>
        <v>0.12916666666666668</v>
      </c>
      <c r="Q127" s="39">
        <f t="shared" si="59"/>
        <v>4.1269841269841276E-2</v>
      </c>
      <c r="R127" s="39">
        <f t="shared" si="60"/>
        <v>3.0357142857142857E-2</v>
      </c>
    </row>
    <row r="128" spans="5:18" ht="15" x14ac:dyDescent="0.2">
      <c r="E128" s="39" t="s">
        <v>16</v>
      </c>
      <c r="F128" s="39">
        <f t="shared" si="61"/>
        <v>0</v>
      </c>
      <c r="G128" s="39">
        <f t="shared" si="62"/>
        <v>0</v>
      </c>
      <c r="H128" s="39">
        <f t="shared" si="63"/>
        <v>0</v>
      </c>
      <c r="I128" s="39">
        <f t="shared" si="64"/>
        <v>0</v>
      </c>
      <c r="J128" s="39">
        <f t="shared" si="65"/>
        <v>0</v>
      </c>
      <c r="K128" s="39">
        <f t="shared" si="66"/>
        <v>0</v>
      </c>
      <c r="L128" s="39">
        <f t="shared" si="56"/>
        <v>0</v>
      </c>
      <c r="M128" s="39">
        <f t="shared" si="67"/>
        <v>0</v>
      </c>
      <c r="N128" s="3">
        <v>1650</v>
      </c>
      <c r="O128" s="39">
        <f t="shared" si="57"/>
        <v>0</v>
      </c>
      <c r="P128" s="39">
        <f t="shared" si="58"/>
        <v>0</v>
      </c>
      <c r="Q128" s="39">
        <f t="shared" si="59"/>
        <v>0</v>
      </c>
      <c r="R128" s="39">
        <f t="shared" si="60"/>
        <v>0</v>
      </c>
    </row>
    <row r="129" spans="5:18" ht="15" x14ac:dyDescent="0.2">
      <c r="E129" s="39" t="s">
        <v>119</v>
      </c>
      <c r="F129" s="39">
        <f t="shared" si="61"/>
        <v>4.5999999999999996</v>
      </c>
      <c r="G129" s="39">
        <f t="shared" si="62"/>
        <v>4.6624999999999996</v>
      </c>
      <c r="H129" s="39">
        <f t="shared" si="63"/>
        <v>3.5625</v>
      </c>
      <c r="I129" s="39">
        <f t="shared" si="64"/>
        <v>4.0374999999999996</v>
      </c>
      <c r="J129" s="39">
        <f t="shared" si="65"/>
        <v>1.3374999999999999</v>
      </c>
      <c r="K129" s="39">
        <f t="shared" si="66"/>
        <v>1.325</v>
      </c>
      <c r="L129" s="39">
        <f t="shared" si="56"/>
        <v>0.64500000000000002</v>
      </c>
      <c r="M129" s="39">
        <f t="shared" si="67"/>
        <v>0.63375000000000004</v>
      </c>
      <c r="N129" s="3">
        <v>34</v>
      </c>
      <c r="O129" s="39">
        <f t="shared" si="57"/>
        <v>0.13713235294117646</v>
      </c>
      <c r="P129" s="39">
        <f t="shared" si="58"/>
        <v>0.13713235294117646</v>
      </c>
      <c r="Q129" s="39">
        <f t="shared" si="59"/>
        <v>3.9338235294117646E-2</v>
      </c>
      <c r="R129" s="39">
        <f t="shared" si="60"/>
        <v>1.8970588235294118E-2</v>
      </c>
    </row>
    <row r="130" spans="5:18" ht="15" x14ac:dyDescent="0.2">
      <c r="E130" s="39" t="s">
        <v>120</v>
      </c>
      <c r="F130" s="39">
        <f t="shared" si="61"/>
        <v>0</v>
      </c>
      <c r="G130" s="39">
        <f t="shared" si="62"/>
        <v>0</v>
      </c>
      <c r="H130" s="39">
        <f t="shared" si="63"/>
        <v>0</v>
      </c>
      <c r="I130" s="39">
        <f t="shared" si="64"/>
        <v>0</v>
      </c>
      <c r="J130" s="39">
        <f t="shared" si="65"/>
        <v>0</v>
      </c>
      <c r="K130" s="39">
        <f t="shared" si="66"/>
        <v>0</v>
      </c>
      <c r="L130" s="39">
        <f t="shared" si="56"/>
        <v>0</v>
      </c>
      <c r="M130" s="39">
        <f t="shared" si="67"/>
        <v>0</v>
      </c>
      <c r="N130" s="3">
        <v>11900</v>
      </c>
      <c r="O130" s="39">
        <f t="shared" si="57"/>
        <v>0</v>
      </c>
      <c r="P130" s="39">
        <f t="shared" si="58"/>
        <v>0</v>
      </c>
      <c r="Q130" s="39">
        <f t="shared" si="59"/>
        <v>0</v>
      </c>
      <c r="R130" s="39">
        <f t="shared" si="60"/>
        <v>0</v>
      </c>
    </row>
    <row r="131" spans="5:18" ht="15" x14ac:dyDescent="0.2">
      <c r="E131" s="39" t="s">
        <v>11</v>
      </c>
      <c r="F131" s="39">
        <f t="shared" si="61"/>
        <v>0</v>
      </c>
      <c r="G131" s="39">
        <f t="shared" si="62"/>
        <v>0</v>
      </c>
      <c r="H131" s="39">
        <f t="shared" si="63"/>
        <v>0</v>
      </c>
      <c r="I131" s="39">
        <f t="shared" si="64"/>
        <v>0</v>
      </c>
      <c r="J131" s="39">
        <f t="shared" si="65"/>
        <v>0</v>
      </c>
      <c r="K131" s="39">
        <f t="shared" si="66"/>
        <v>0</v>
      </c>
      <c r="L131" s="39">
        <f t="shared" si="56"/>
        <v>0</v>
      </c>
      <c r="M131" s="39">
        <f t="shared" si="67"/>
        <v>0</v>
      </c>
      <c r="N131" s="3">
        <v>37</v>
      </c>
      <c r="O131" s="39">
        <f t="shared" si="57"/>
        <v>0</v>
      </c>
      <c r="P131" s="39">
        <f t="shared" si="58"/>
        <v>0</v>
      </c>
      <c r="Q131" s="39">
        <f t="shared" si="59"/>
        <v>0</v>
      </c>
      <c r="R131" s="39">
        <f t="shared" si="60"/>
        <v>0</v>
      </c>
    </row>
    <row r="132" spans="5:18" ht="15" x14ac:dyDescent="0.2">
      <c r="E132" s="39" t="s">
        <v>121</v>
      </c>
      <c r="F132" s="39">
        <f t="shared" si="61"/>
        <v>0.03</v>
      </c>
      <c r="G132" s="39">
        <f t="shared" si="62"/>
        <v>2.8749999999999998E-2</v>
      </c>
      <c r="H132" s="39">
        <f t="shared" si="63"/>
        <v>2.1249999999999998E-2</v>
      </c>
      <c r="I132" s="39">
        <f t="shared" si="64"/>
        <v>0.02</v>
      </c>
      <c r="J132" s="39">
        <f t="shared" si="65"/>
        <v>0</v>
      </c>
      <c r="K132" s="39">
        <f t="shared" si="66"/>
        <v>0</v>
      </c>
      <c r="L132" s="39">
        <f t="shared" si="56"/>
        <v>0</v>
      </c>
      <c r="M132" s="39">
        <f t="shared" si="67"/>
        <v>0</v>
      </c>
      <c r="N132" s="3">
        <v>4.0999999999999996</v>
      </c>
      <c r="O132" s="39">
        <f t="shared" si="57"/>
        <v>7.3170731707317077E-3</v>
      </c>
      <c r="P132" s="39">
        <f t="shared" si="58"/>
        <v>7.0121951219512197E-3</v>
      </c>
      <c r="Q132" s="39">
        <f t="shared" si="59"/>
        <v>0</v>
      </c>
      <c r="R132" s="39">
        <f t="shared" si="60"/>
        <v>0</v>
      </c>
    </row>
    <row r="133" spans="5:18" ht="15" x14ac:dyDescent="0.2">
      <c r="E133" s="39" t="s">
        <v>122</v>
      </c>
      <c r="F133" s="39">
        <f t="shared" si="61"/>
        <v>11.05</v>
      </c>
      <c r="G133" s="39">
        <f t="shared" si="62"/>
        <v>7.6875</v>
      </c>
      <c r="H133" s="39">
        <f t="shared" si="63"/>
        <v>8.7375000000000007</v>
      </c>
      <c r="I133" s="39">
        <f t="shared" si="64"/>
        <v>7.85</v>
      </c>
      <c r="J133" s="39">
        <f t="shared" si="65"/>
        <v>4.3</v>
      </c>
      <c r="K133" s="39">
        <f t="shared" si="66"/>
        <v>3.9375</v>
      </c>
      <c r="L133" s="39">
        <f t="shared" si="56"/>
        <v>3.3</v>
      </c>
      <c r="M133" s="39">
        <f t="shared" si="67"/>
        <v>2.5375000000000001</v>
      </c>
      <c r="N133" s="3">
        <v>14.4</v>
      </c>
      <c r="O133" s="39">
        <f t="shared" si="57"/>
        <v>0.76736111111111116</v>
      </c>
      <c r="P133" s="39">
        <f t="shared" si="58"/>
        <v>0.60677083333333337</v>
      </c>
      <c r="Q133" s="39">
        <f t="shared" si="59"/>
        <v>0.2986111111111111</v>
      </c>
      <c r="R133" s="39">
        <f t="shared" si="60"/>
        <v>0.22916666666666666</v>
      </c>
    </row>
    <row r="134" spans="5:18" ht="15" x14ac:dyDescent="0.2">
      <c r="E134" s="39" t="s">
        <v>123</v>
      </c>
      <c r="F134" s="39">
        <f t="shared" si="61"/>
        <v>1E-3</v>
      </c>
      <c r="G134" s="39">
        <f t="shared" si="62"/>
        <v>6.3749999999999994E-4</v>
      </c>
      <c r="H134" s="39">
        <f t="shared" si="63"/>
        <v>5.8750000000000002E-4</v>
      </c>
      <c r="I134" s="39">
        <f t="shared" si="64"/>
        <v>0</v>
      </c>
      <c r="J134" s="39">
        <f t="shared" si="65"/>
        <v>0</v>
      </c>
      <c r="K134" s="39">
        <f t="shared" si="66"/>
        <v>0</v>
      </c>
      <c r="L134" s="39">
        <f t="shared" si="56"/>
        <v>0</v>
      </c>
      <c r="M134" s="39">
        <f t="shared" si="67"/>
        <v>0</v>
      </c>
      <c r="N134" s="3">
        <v>0.19</v>
      </c>
      <c r="O134" s="39">
        <f t="shared" si="57"/>
        <v>5.263157894736842E-3</v>
      </c>
      <c r="P134" s="39">
        <f t="shared" si="58"/>
        <v>3.3552631578947366E-3</v>
      </c>
      <c r="Q134" s="39">
        <f t="shared" si="59"/>
        <v>0</v>
      </c>
      <c r="R134" s="39">
        <f t="shared" si="60"/>
        <v>0</v>
      </c>
    </row>
    <row r="135" spans="5:18" ht="15" x14ac:dyDescent="0.2">
      <c r="E135" s="39" t="s">
        <v>124</v>
      </c>
      <c r="F135" s="39">
        <f t="shared" si="61"/>
        <v>1.0374999999999999E-2</v>
      </c>
      <c r="G135" s="39">
        <f t="shared" si="62"/>
        <v>1.3250000000000001E-2</v>
      </c>
      <c r="H135" s="39">
        <f t="shared" si="63"/>
        <v>0</v>
      </c>
      <c r="I135" s="39">
        <f t="shared" si="64"/>
        <v>0</v>
      </c>
      <c r="J135" s="39">
        <f t="shared" si="65"/>
        <v>0</v>
      </c>
      <c r="K135" s="39">
        <f t="shared" si="66"/>
        <v>0</v>
      </c>
      <c r="L135" s="39">
        <f t="shared" si="56"/>
        <v>0</v>
      </c>
      <c r="M135" s="39">
        <f t="shared" si="67"/>
        <v>0</v>
      </c>
      <c r="N135" s="3">
        <v>6.5</v>
      </c>
      <c r="O135" s="39">
        <f t="shared" si="57"/>
        <v>2.0384615384615385E-3</v>
      </c>
      <c r="P135" s="39">
        <f t="shared" si="58"/>
        <v>2.0384615384615385E-3</v>
      </c>
      <c r="Q135" s="39">
        <f t="shared" si="59"/>
        <v>0</v>
      </c>
      <c r="R135" s="39">
        <f t="shared" si="60"/>
        <v>0</v>
      </c>
    </row>
    <row r="136" spans="5:18" ht="15" x14ac:dyDescent="0.2">
      <c r="E136" s="39" t="s">
        <v>125</v>
      </c>
      <c r="F136" s="39">
        <f t="shared" si="61"/>
        <v>0.34750000000000003</v>
      </c>
      <c r="G136" s="39">
        <f t="shared" si="62"/>
        <v>0.30874999999999997</v>
      </c>
      <c r="H136" s="39">
        <f t="shared" si="63"/>
        <v>0.21124999999999999</v>
      </c>
      <c r="I136" s="39">
        <f t="shared" si="64"/>
        <v>0.23875000000000002</v>
      </c>
      <c r="J136" s="39">
        <f t="shared" si="65"/>
        <v>4.5874999999999999E-2</v>
      </c>
      <c r="K136" s="39">
        <f t="shared" si="66"/>
        <v>8.199999999999999E-2</v>
      </c>
      <c r="L136" s="39">
        <f t="shared" si="56"/>
        <v>0.2525</v>
      </c>
      <c r="M136" s="39">
        <f t="shared" si="67"/>
        <v>0.12625</v>
      </c>
      <c r="N136" s="3">
        <v>20</v>
      </c>
      <c r="O136" s="39">
        <f t="shared" si="57"/>
        <v>1.7375000000000002E-2</v>
      </c>
      <c r="P136" s="39">
        <f t="shared" si="58"/>
        <v>1.5437499999999998E-2</v>
      </c>
      <c r="Q136" s="39">
        <f t="shared" si="59"/>
        <v>4.0999999999999995E-3</v>
      </c>
      <c r="R136" s="39">
        <f t="shared" si="60"/>
        <v>1.2625000000000001E-2</v>
      </c>
    </row>
    <row r="137" spans="5:18" ht="15" x14ac:dyDescent="0.2">
      <c r="E137" s="39" t="s">
        <v>126</v>
      </c>
      <c r="F137" s="39">
        <f t="shared" si="61"/>
        <v>1.7000000000000001E-2</v>
      </c>
      <c r="G137" s="39">
        <f t="shared" si="62"/>
        <v>1.925E-2</v>
      </c>
      <c r="H137" s="39">
        <f t="shared" si="63"/>
        <v>0</v>
      </c>
      <c r="I137" s="39">
        <f t="shared" si="64"/>
        <v>0</v>
      </c>
      <c r="J137" s="39">
        <f t="shared" si="65"/>
        <v>0</v>
      </c>
      <c r="K137" s="39">
        <f t="shared" si="66"/>
        <v>0</v>
      </c>
      <c r="L137" s="39">
        <f t="shared" si="56"/>
        <v>0</v>
      </c>
      <c r="M137" s="39">
        <f t="shared" si="67"/>
        <v>0</v>
      </c>
      <c r="N137" s="3">
        <v>2.4</v>
      </c>
      <c r="O137" s="39">
        <f t="shared" si="57"/>
        <v>8.0208333333333329E-3</v>
      </c>
      <c r="P137" s="39">
        <f t="shared" si="58"/>
        <v>8.0208333333333329E-3</v>
      </c>
      <c r="Q137" s="39">
        <f t="shared" si="59"/>
        <v>0</v>
      </c>
      <c r="R137" s="39">
        <f t="shared" si="60"/>
        <v>0</v>
      </c>
    </row>
    <row r="138" spans="5:18" ht="15" x14ac:dyDescent="0.2">
      <c r="E138" s="39" t="s">
        <v>127</v>
      </c>
      <c r="F138" s="39">
        <f t="shared" si="61"/>
        <v>3.1875000000000001E-2</v>
      </c>
      <c r="G138" s="39">
        <f t="shared" si="62"/>
        <v>2.9875000000000002E-2</v>
      </c>
      <c r="H138" s="39">
        <f t="shared" si="63"/>
        <v>1.9E-2</v>
      </c>
      <c r="I138" s="39">
        <f t="shared" si="64"/>
        <v>1.7749999999999998E-2</v>
      </c>
      <c r="J138" s="39">
        <f t="shared" si="65"/>
        <v>0</v>
      </c>
      <c r="K138" s="39">
        <f t="shared" si="66"/>
        <v>0</v>
      </c>
      <c r="L138" s="39">
        <f t="shared" si="56"/>
        <v>0</v>
      </c>
      <c r="M138" s="39">
        <f t="shared" si="67"/>
        <v>0</v>
      </c>
      <c r="N138" s="3">
        <v>5.6</v>
      </c>
      <c r="O138" s="39">
        <f t="shared" si="57"/>
        <v>5.6919642857142863E-3</v>
      </c>
      <c r="P138" s="39">
        <f t="shared" si="58"/>
        <v>5.3348214285714292E-3</v>
      </c>
      <c r="Q138" s="39">
        <f t="shared" si="59"/>
        <v>0</v>
      </c>
      <c r="R138" s="39">
        <f t="shared" si="60"/>
        <v>0</v>
      </c>
    </row>
    <row r="139" spans="5:18" ht="15" x14ac:dyDescent="0.2">
      <c r="E139" s="39" t="s">
        <v>1</v>
      </c>
      <c r="F139" s="39">
        <f t="shared" si="61"/>
        <v>9.9625000000000004</v>
      </c>
      <c r="G139" s="39">
        <f t="shared" si="62"/>
        <v>0</v>
      </c>
      <c r="H139" s="39">
        <f t="shared" si="63"/>
        <v>0</v>
      </c>
      <c r="I139" s="39">
        <f t="shared" si="64"/>
        <v>0</v>
      </c>
      <c r="J139" s="39">
        <f t="shared" si="65"/>
        <v>0</v>
      </c>
      <c r="K139" s="39">
        <f t="shared" si="66"/>
        <v>0</v>
      </c>
      <c r="L139" s="39">
        <f t="shared" si="56"/>
        <v>0</v>
      </c>
      <c r="M139" s="39">
        <f t="shared" si="67"/>
        <v>0</v>
      </c>
      <c r="N139" s="3">
        <v>28</v>
      </c>
      <c r="O139" s="39">
        <f t="shared" si="57"/>
        <v>0.35580357142857144</v>
      </c>
      <c r="P139" s="39">
        <f t="shared" si="58"/>
        <v>0</v>
      </c>
      <c r="Q139" s="39">
        <f t="shared" si="59"/>
        <v>0</v>
      </c>
      <c r="R139" s="39">
        <f t="shared" si="60"/>
        <v>0</v>
      </c>
    </row>
    <row r="140" spans="5:18" ht="15" x14ac:dyDescent="0.2">
      <c r="E140" s="39" t="s">
        <v>0</v>
      </c>
      <c r="F140" s="39">
        <f t="shared" si="61"/>
        <v>0</v>
      </c>
      <c r="G140" s="39">
        <f t="shared" si="62"/>
        <v>0</v>
      </c>
      <c r="H140" s="39">
        <f t="shared" si="63"/>
        <v>0</v>
      </c>
      <c r="I140" s="39">
        <f t="shared" si="64"/>
        <v>0</v>
      </c>
      <c r="J140" s="39">
        <f t="shared" si="65"/>
        <v>0</v>
      </c>
      <c r="K140" s="39">
        <f t="shared" si="66"/>
        <v>0</v>
      </c>
      <c r="L140" s="39">
        <f t="shared" si="56"/>
        <v>0</v>
      </c>
      <c r="M140" s="39">
        <f t="shared" si="67"/>
        <v>0</v>
      </c>
      <c r="N140" s="3">
        <v>170</v>
      </c>
      <c r="O140" s="39">
        <f t="shared" si="57"/>
        <v>0</v>
      </c>
      <c r="P140" s="39">
        <f t="shared" si="58"/>
        <v>0</v>
      </c>
      <c r="Q140" s="39">
        <f t="shared" si="59"/>
        <v>0</v>
      </c>
      <c r="R140" s="39">
        <f t="shared" si="60"/>
        <v>0</v>
      </c>
    </row>
  </sheetData>
  <mergeCells count="15">
    <mergeCell ref="C1:D1"/>
    <mergeCell ref="S1:S2"/>
    <mergeCell ref="E21:E22"/>
    <mergeCell ref="F21:M21"/>
    <mergeCell ref="A29:A31"/>
    <mergeCell ref="E41:E42"/>
    <mergeCell ref="F41:M41"/>
    <mergeCell ref="E121:E122"/>
    <mergeCell ref="F121:M121"/>
    <mergeCell ref="E61:E62"/>
    <mergeCell ref="F61:M61"/>
    <mergeCell ref="E81:E82"/>
    <mergeCell ref="F81:M81"/>
    <mergeCell ref="E101:E102"/>
    <mergeCell ref="F101:M101"/>
  </mergeCells>
  <conditionalFormatting sqref="F3:M20">
    <cfRule type="cellIs" dxfId="117" priority="1" operator="equal">
      <formula>0</formula>
    </cfRule>
    <cfRule type="cellIs" dxfId="116" priority="2" operator="equal">
      <formula>0</formula>
    </cfRule>
  </conditionalFormatting>
  <conditionalFormatting sqref="O3:O19">
    <cfRule type="containsText" dxfId="115" priority="17" operator="containsText" text="&gt;1">
      <formula>NOT(ISERROR(SEARCH("&gt;1",O3)))</formula>
    </cfRule>
  </conditionalFormatting>
  <conditionalFormatting sqref="O3:R5">
    <cfRule type="cellIs" dxfId="114" priority="20" operator="greaterThan">
      <formula>1</formula>
    </cfRule>
  </conditionalFormatting>
  <conditionalFormatting sqref="O3:R19">
    <cfRule type="colorScale" priority="19">
      <colorScale>
        <cfvo type="num" val="&quot;&lt;1&quot;"/>
        <cfvo type="num" val="&quot;&gt;1&quot;"/>
        <color theme="9"/>
        <color theme="5" tint="0.39997558519241921"/>
      </colorScale>
    </cfRule>
    <cfRule type="colorScale" priority="18">
      <colorScale>
        <cfvo type="num" val="&quot;&lt;1&quot;"/>
        <cfvo type="num" val="&quot;&gt;1&quot;"/>
        <color theme="9"/>
        <color theme="5" tint="-0.249977111117893"/>
      </colorScale>
    </cfRule>
  </conditionalFormatting>
  <conditionalFormatting sqref="O3:R20">
    <cfRule type="cellIs" dxfId="113" priority="5" operator="lessThan">
      <formula>1</formula>
    </cfRule>
    <cfRule type="cellIs" dxfId="112" priority="6" operator="greaterThan">
      <formula>1</formula>
    </cfRule>
  </conditionalFormatting>
  <conditionalFormatting sqref="O23:R40">
    <cfRule type="cellIs" dxfId="111" priority="3" operator="lessThan">
      <formula>1</formula>
    </cfRule>
    <cfRule type="cellIs" dxfId="110" priority="4" operator="greaterThan">
      <formula>1</formula>
    </cfRule>
  </conditionalFormatting>
  <conditionalFormatting sqref="O43:R60">
    <cfRule type="cellIs" dxfId="109" priority="16" operator="greaterThan">
      <formula>1</formula>
    </cfRule>
    <cfRule type="cellIs" dxfId="108" priority="15" operator="lessThan">
      <formula>1</formula>
    </cfRule>
  </conditionalFormatting>
  <conditionalFormatting sqref="O63:R80">
    <cfRule type="cellIs" dxfId="107" priority="13" operator="lessThan">
      <formula>1</formula>
    </cfRule>
    <cfRule type="cellIs" dxfId="106" priority="14" operator="greaterThan">
      <formula>1</formula>
    </cfRule>
  </conditionalFormatting>
  <conditionalFormatting sqref="O83:R100">
    <cfRule type="cellIs" dxfId="105" priority="12" operator="greaterThan">
      <formula>1</formula>
    </cfRule>
    <cfRule type="cellIs" dxfId="104" priority="11" operator="lessThan">
      <formula>1</formula>
    </cfRule>
  </conditionalFormatting>
  <conditionalFormatting sqref="O103:R120">
    <cfRule type="cellIs" dxfId="103" priority="10" operator="greaterThan">
      <formula>1</formula>
    </cfRule>
    <cfRule type="cellIs" dxfId="102" priority="9" operator="lessThan">
      <formula>1</formula>
    </cfRule>
  </conditionalFormatting>
  <conditionalFormatting sqref="O123:R140">
    <cfRule type="cellIs" dxfId="101" priority="8" operator="greaterThan">
      <formula>1</formula>
    </cfRule>
    <cfRule type="cellIs" dxfId="100" priority="7" operator="lessThan">
      <formula>1</formula>
    </cfRule>
  </conditionalFormatting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222F4-AA9E-4F05-A5D4-318B306CC830}">
  <dimension ref="A1:U85"/>
  <sheetViews>
    <sheetView tabSelected="1" zoomScale="88" zoomScaleNormal="70" workbookViewId="0">
      <selection activeCell="B46" sqref="B46"/>
    </sheetView>
  </sheetViews>
  <sheetFormatPr baseColWidth="10" defaultColWidth="8.83203125" defaultRowHeight="15" x14ac:dyDescent="0.2"/>
  <cols>
    <col min="1" max="1" width="17.33203125" bestFit="1" customWidth="1"/>
    <col min="2" max="2" width="14" customWidth="1"/>
    <col min="3" max="3" width="16.5" customWidth="1"/>
    <col min="4" max="4" width="20.1640625" customWidth="1"/>
    <col min="5" max="5" width="18.6640625" customWidth="1"/>
    <col min="6" max="6" width="17.1640625" customWidth="1"/>
    <col min="7" max="7" width="15.5" customWidth="1"/>
    <col min="8" max="12" width="8.83203125" customWidth="1"/>
    <col min="13" max="13" width="14" customWidth="1"/>
    <col min="14" max="14" width="10.1640625" customWidth="1"/>
    <col min="15" max="15" width="20.1640625" customWidth="1"/>
    <col min="16" max="16" width="18.6640625" customWidth="1"/>
    <col min="17" max="17" width="17.1640625" customWidth="1"/>
    <col min="18" max="18" width="15.5" customWidth="1"/>
    <col min="19" max="20" width="8.83203125" customWidth="1"/>
  </cols>
  <sheetData>
    <row r="1" spans="1:7" x14ac:dyDescent="0.2">
      <c r="A1" s="91" t="s">
        <v>69</v>
      </c>
      <c r="B1" s="92"/>
      <c r="C1" s="92"/>
      <c r="D1" s="92"/>
      <c r="E1" s="92"/>
      <c r="F1" s="92"/>
    </row>
    <row r="2" spans="1:7" x14ac:dyDescent="0.2">
      <c r="A2" s="1" t="s">
        <v>68</v>
      </c>
      <c r="B2" s="1">
        <v>0.2</v>
      </c>
      <c r="C2" s="1" t="s">
        <v>7</v>
      </c>
      <c r="D2" s="1"/>
      <c r="E2" s="1"/>
      <c r="F2" s="1"/>
    </row>
    <row r="3" spans="1:7" x14ac:dyDescent="0.2">
      <c r="A3" s="1" t="s">
        <v>64</v>
      </c>
      <c r="B3" s="1">
        <v>0.1</v>
      </c>
      <c r="C3" s="1" t="s">
        <v>7</v>
      </c>
      <c r="D3" s="15"/>
      <c r="E3" s="15"/>
      <c r="F3" s="15"/>
      <c r="G3" s="15"/>
    </row>
    <row r="4" spans="1:7" x14ac:dyDescent="0.2">
      <c r="A4" s="1" t="s">
        <v>62</v>
      </c>
      <c r="B4" s="1">
        <v>0.3</v>
      </c>
      <c r="C4" s="1" t="s">
        <v>7</v>
      </c>
      <c r="D4" s="1"/>
      <c r="E4" s="1"/>
      <c r="F4" s="1"/>
    </row>
    <row r="5" spans="1:7" x14ac:dyDescent="0.2">
      <c r="A5" s="1" t="s">
        <v>60</v>
      </c>
      <c r="B5" s="1">
        <v>6.0000000000000001E-3</v>
      </c>
      <c r="C5" s="1" t="s">
        <v>7</v>
      </c>
      <c r="D5" s="1"/>
      <c r="E5" s="1"/>
      <c r="F5" s="1"/>
    </row>
    <row r="6" spans="1:7" x14ac:dyDescent="0.2">
      <c r="A6" s="1" t="s">
        <v>55</v>
      </c>
      <c r="B6" s="1">
        <v>1720</v>
      </c>
      <c r="C6" s="1" t="s">
        <v>47</v>
      </c>
    </row>
    <row r="7" spans="1:7" x14ac:dyDescent="0.2">
      <c r="A7" s="1" t="s">
        <v>52</v>
      </c>
      <c r="B7" s="1">
        <v>1720</v>
      </c>
      <c r="C7" s="1" t="s">
        <v>47</v>
      </c>
    </row>
    <row r="8" spans="1:7" x14ac:dyDescent="0.2">
      <c r="A8" s="1" t="s">
        <v>49</v>
      </c>
      <c r="B8" s="1">
        <v>1780</v>
      </c>
      <c r="C8" s="1" t="s">
        <v>47</v>
      </c>
      <c r="D8" s="1"/>
      <c r="E8" s="1"/>
      <c r="F8" s="1"/>
    </row>
    <row r="9" spans="1:7" x14ac:dyDescent="0.2">
      <c r="A9" s="1" t="s">
        <v>48</v>
      </c>
      <c r="B9" s="1">
        <v>1380</v>
      </c>
      <c r="C9" s="1" t="s">
        <v>47</v>
      </c>
      <c r="D9" s="1"/>
      <c r="E9" s="1"/>
      <c r="F9" s="1"/>
    </row>
    <row r="10" spans="1:7" ht="16" thickBot="1" x14ac:dyDescent="0.25">
      <c r="A10" s="105" t="s">
        <v>95</v>
      </c>
      <c r="B10" s="106"/>
      <c r="C10" s="106"/>
      <c r="D10" s="106"/>
      <c r="E10" s="106"/>
      <c r="F10" s="106"/>
    </row>
    <row r="11" spans="1:7" x14ac:dyDescent="0.2">
      <c r="A11" s="107" t="s">
        <v>8</v>
      </c>
      <c r="B11" s="107"/>
      <c r="C11" s="107"/>
      <c r="D11" s="107" t="s">
        <v>97</v>
      </c>
      <c r="E11" s="107"/>
      <c r="F11" s="107"/>
    </row>
    <row r="12" spans="1:7" x14ac:dyDescent="0.2">
      <c r="A12" s="1" t="s">
        <v>64</v>
      </c>
      <c r="B12" s="1">
        <v>0.8</v>
      </c>
      <c r="C12" s="1" t="s">
        <v>45</v>
      </c>
      <c r="D12" s="1" t="s">
        <v>64</v>
      </c>
      <c r="E12" s="1">
        <v>0.8</v>
      </c>
      <c r="F12" s="1" t="s">
        <v>45</v>
      </c>
      <c r="G12" s="12"/>
    </row>
    <row r="13" spans="1:7" x14ac:dyDescent="0.2">
      <c r="A13" s="1" t="s">
        <v>62</v>
      </c>
      <c r="B13" s="1">
        <v>1</v>
      </c>
      <c r="C13" s="1" t="s">
        <v>7</v>
      </c>
      <c r="D13" s="1" t="s">
        <v>62</v>
      </c>
      <c r="E13" s="1">
        <v>1</v>
      </c>
      <c r="F13" s="1" t="s">
        <v>7</v>
      </c>
      <c r="G13" s="12"/>
    </row>
    <row r="14" spans="1:7" x14ac:dyDescent="0.2">
      <c r="A14" s="1" t="s">
        <v>78</v>
      </c>
      <c r="B14" s="1">
        <v>4</v>
      </c>
      <c r="C14" s="1" t="s">
        <v>7</v>
      </c>
      <c r="D14" s="1" t="s">
        <v>78</v>
      </c>
      <c r="E14" s="1">
        <v>5</v>
      </c>
      <c r="F14" s="1" t="s">
        <v>7</v>
      </c>
      <c r="G14" s="12"/>
    </row>
    <row r="15" spans="1:7" x14ac:dyDescent="0.2">
      <c r="A15" s="1" t="s">
        <v>79</v>
      </c>
      <c r="B15" s="1">
        <v>8</v>
      </c>
      <c r="C15" s="1" t="s">
        <v>7</v>
      </c>
      <c r="D15" s="1" t="s">
        <v>79</v>
      </c>
      <c r="E15" s="1">
        <v>10</v>
      </c>
      <c r="F15" s="1" t="s">
        <v>7</v>
      </c>
      <c r="G15" s="12"/>
    </row>
    <row r="16" spans="1:7" x14ac:dyDescent="0.2">
      <c r="A16" s="1" t="s">
        <v>70</v>
      </c>
      <c r="B16" s="1">
        <f>(B15+B14)*B12/2</f>
        <v>4.8000000000000007</v>
      </c>
      <c r="C16" s="1" t="s">
        <v>34</v>
      </c>
      <c r="D16" s="1" t="s">
        <v>83</v>
      </c>
      <c r="E16" s="1">
        <f>(E15+E14)*B12/2</f>
        <v>6</v>
      </c>
      <c r="F16" s="1" t="s">
        <v>34</v>
      </c>
      <c r="G16" s="12"/>
    </row>
    <row r="17" spans="1:7" x14ac:dyDescent="0.2">
      <c r="A17" s="1" t="s">
        <v>71</v>
      </c>
      <c r="B17" s="1">
        <f>(B14+B15)*B13/2</f>
        <v>6</v>
      </c>
      <c r="C17" s="1" t="s">
        <v>34</v>
      </c>
      <c r="D17" s="1" t="s">
        <v>80</v>
      </c>
      <c r="E17" s="1">
        <f>(E14+E15)*B13/2</f>
        <v>7.5</v>
      </c>
      <c r="F17" s="1" t="s">
        <v>34</v>
      </c>
      <c r="G17" s="1"/>
    </row>
    <row r="18" spans="1:7" x14ac:dyDescent="0.2">
      <c r="A18" s="1" t="s">
        <v>37</v>
      </c>
      <c r="B18" s="1">
        <v>1</v>
      </c>
      <c r="C18" s="1" t="s">
        <v>7</v>
      </c>
      <c r="D18" s="1" t="s">
        <v>37</v>
      </c>
      <c r="E18" s="1">
        <v>1</v>
      </c>
      <c r="F18" s="1" t="s">
        <v>7</v>
      </c>
      <c r="G18" s="1"/>
    </row>
    <row r="19" spans="1:7" x14ac:dyDescent="0.2">
      <c r="A19" s="1" t="s">
        <v>72</v>
      </c>
      <c r="B19" s="1">
        <f>B16*B18</f>
        <v>4.8000000000000007</v>
      </c>
      <c r="C19" s="1" t="s">
        <v>33</v>
      </c>
      <c r="D19" s="1" t="s">
        <v>81</v>
      </c>
      <c r="E19" s="1">
        <f>E16*E18</f>
        <v>6</v>
      </c>
      <c r="F19" s="1" t="s">
        <v>33</v>
      </c>
      <c r="G19" s="1"/>
    </row>
    <row r="20" spans="1:7" x14ac:dyDescent="0.2">
      <c r="A20" s="1" t="s">
        <v>73</v>
      </c>
      <c r="B20" s="1">
        <f>B17*B18</f>
        <v>6</v>
      </c>
      <c r="C20" s="1" t="s">
        <v>33</v>
      </c>
      <c r="D20" s="1" t="s">
        <v>82</v>
      </c>
      <c r="E20" s="1">
        <f>E17*E18</f>
        <v>7.5</v>
      </c>
      <c r="F20" s="1" t="s">
        <v>34</v>
      </c>
      <c r="G20" s="1"/>
    </row>
    <row r="21" spans="1:7" ht="16" thickBot="1" x14ac:dyDescent="0.25">
      <c r="A21" s="105" t="s">
        <v>96</v>
      </c>
      <c r="B21" s="106"/>
      <c r="C21" s="106"/>
      <c r="D21" s="106"/>
      <c r="E21" s="106"/>
      <c r="F21" s="106"/>
      <c r="G21" s="1"/>
    </row>
    <row r="22" spans="1:7" x14ac:dyDescent="0.2">
      <c r="A22" s="1" t="s">
        <v>74</v>
      </c>
      <c r="B22" s="1">
        <v>2.4</v>
      </c>
      <c r="C22" s="1" t="s">
        <v>89</v>
      </c>
      <c r="D22" s="1" t="s">
        <v>36</v>
      </c>
      <c r="E22" s="1">
        <v>2.4</v>
      </c>
      <c r="F22" s="1" t="s">
        <v>89</v>
      </c>
    </row>
    <row r="23" spans="1:7" x14ac:dyDescent="0.2">
      <c r="A23" s="1" t="s">
        <v>91</v>
      </c>
      <c r="B23" s="17">
        <f>B22*B16</f>
        <v>11.520000000000001</v>
      </c>
      <c r="C23" s="1" t="s">
        <v>53</v>
      </c>
      <c r="D23" s="1" t="s">
        <v>92</v>
      </c>
      <c r="E23" s="17">
        <f>E22*B16</f>
        <v>11.520000000000001</v>
      </c>
      <c r="F23" s="1" t="s">
        <v>53</v>
      </c>
    </row>
    <row r="24" spans="1:7" x14ac:dyDescent="0.2">
      <c r="A24" s="1" t="s">
        <v>90</v>
      </c>
      <c r="B24" s="17">
        <f>B22*B17</f>
        <v>14.399999999999999</v>
      </c>
      <c r="C24" s="1" t="s">
        <v>53</v>
      </c>
      <c r="D24" s="1" t="s">
        <v>94</v>
      </c>
      <c r="E24" s="82">
        <f>E22*B17</f>
        <v>14.399999999999999</v>
      </c>
      <c r="F24" s="1" t="s">
        <v>53</v>
      </c>
    </row>
    <row r="25" spans="1:7" x14ac:dyDescent="0.2">
      <c r="A25" s="1" t="s">
        <v>140</v>
      </c>
      <c r="B25" s="17">
        <f>B23*24/B19</f>
        <v>57.599999999999994</v>
      </c>
      <c r="C25" s="1"/>
      <c r="D25" s="1" t="s">
        <v>141</v>
      </c>
      <c r="E25" s="17">
        <f>B24*24/B20</f>
        <v>57.599999999999994</v>
      </c>
      <c r="F25" s="1"/>
    </row>
    <row r="26" spans="1:7" x14ac:dyDescent="0.2">
      <c r="A26" s="12" t="s">
        <v>35</v>
      </c>
      <c r="B26" s="12">
        <f>(0.05+0.1)/2</f>
        <v>7.5000000000000011E-2</v>
      </c>
      <c r="C26" s="12" t="s">
        <v>15</v>
      </c>
      <c r="D26" s="18" t="s">
        <v>86</v>
      </c>
      <c r="E26" s="18">
        <f>B26*3600</f>
        <v>270.00000000000006</v>
      </c>
      <c r="F26" s="18" t="s">
        <v>89</v>
      </c>
    </row>
    <row r="27" spans="1:7" x14ac:dyDescent="0.2">
      <c r="A27" s="12" t="s">
        <v>84</v>
      </c>
      <c r="B27" s="12">
        <f>B26*E17</f>
        <v>0.56250000000000011</v>
      </c>
      <c r="C27" s="12" t="s">
        <v>12</v>
      </c>
      <c r="D27" s="18" t="s">
        <v>88</v>
      </c>
      <c r="E27" s="18">
        <f>B27*3600</f>
        <v>2025.0000000000005</v>
      </c>
      <c r="F27" s="18" t="s">
        <v>53</v>
      </c>
    </row>
    <row r="28" spans="1:7" x14ac:dyDescent="0.2">
      <c r="A28" s="12" t="s">
        <v>85</v>
      </c>
      <c r="B28" s="16">
        <f>B26*E16</f>
        <v>0.45000000000000007</v>
      </c>
      <c r="C28" s="12" t="s">
        <v>12</v>
      </c>
      <c r="D28" s="18" t="s">
        <v>87</v>
      </c>
      <c r="E28" s="19">
        <f>B28*60*60</f>
        <v>1620.0000000000002</v>
      </c>
      <c r="F28" s="18" t="s">
        <v>53</v>
      </c>
    </row>
    <row r="29" spans="1:7" x14ac:dyDescent="0.2">
      <c r="A29" s="14" t="s">
        <v>75</v>
      </c>
      <c r="B29" s="2">
        <v>2.0000000000000002E-5</v>
      </c>
      <c r="C29" s="1" t="s">
        <v>21</v>
      </c>
      <c r="D29" s="14" t="s">
        <v>93</v>
      </c>
      <c r="E29" s="2">
        <f>B29*60</f>
        <v>1.2000000000000001E-3</v>
      </c>
      <c r="F29" s="1" t="s">
        <v>53</v>
      </c>
    </row>
    <row r="30" spans="1:7" x14ac:dyDescent="0.2">
      <c r="A30" s="12" t="s">
        <v>173</v>
      </c>
      <c r="B30" s="89">
        <f>E28*24/E19</f>
        <v>6480.0000000000009</v>
      </c>
      <c r="C30" s="12"/>
      <c r="D30" s="12" t="s">
        <v>174</v>
      </c>
      <c r="E30" s="89">
        <f>E27*24/E20</f>
        <v>6480.0000000000018</v>
      </c>
      <c r="F30" s="12"/>
    </row>
    <row r="31" spans="1:7" x14ac:dyDescent="0.2">
      <c r="A31" s="14" t="s">
        <v>76</v>
      </c>
      <c r="B31" s="2">
        <f>B29*60000</f>
        <v>1.2000000000000002</v>
      </c>
      <c r="C31" s="1" t="s">
        <v>77</v>
      </c>
      <c r="D31" s="14"/>
      <c r="E31" s="2"/>
      <c r="F31" s="1"/>
    </row>
    <row r="32" spans="1:7" ht="16" thickBot="1" x14ac:dyDescent="0.25">
      <c r="A32" s="105" t="s">
        <v>98</v>
      </c>
      <c r="B32" s="106"/>
      <c r="C32" s="106"/>
      <c r="D32" s="106"/>
      <c r="E32" s="106"/>
      <c r="F32" s="106"/>
    </row>
    <row r="33" spans="1:21" x14ac:dyDescent="0.2">
      <c r="A33" s="1" t="s">
        <v>67</v>
      </c>
      <c r="B33" s="1" t="s">
        <v>66</v>
      </c>
      <c r="C33" s="1" t="s">
        <v>65</v>
      </c>
      <c r="D33" s="1"/>
      <c r="E33" s="1"/>
      <c r="F33" s="1"/>
    </row>
    <row r="34" spans="1:21" x14ac:dyDescent="0.2">
      <c r="A34" s="1" t="s">
        <v>63</v>
      </c>
      <c r="B34" s="1">
        <v>0.3</v>
      </c>
      <c r="C34" s="1" t="s">
        <v>58</v>
      </c>
      <c r="D34" s="1"/>
      <c r="E34" s="1"/>
      <c r="F34" s="1">
        <v>1.2</v>
      </c>
      <c r="G34" t="s">
        <v>53</v>
      </c>
    </row>
    <row r="35" spans="1:21" x14ac:dyDescent="0.2">
      <c r="A35" s="1" t="s">
        <v>61</v>
      </c>
      <c r="B35" s="1">
        <f>B3*B5*B6*B18</f>
        <v>1.032</v>
      </c>
      <c r="C35" s="1" t="s">
        <v>58</v>
      </c>
      <c r="F35">
        <f>F34/B17</f>
        <v>0.19999999999999998</v>
      </c>
    </row>
    <row r="36" spans="1:21" x14ac:dyDescent="0.2">
      <c r="A36" s="1" t="s">
        <v>59</v>
      </c>
      <c r="B36" s="1">
        <f>B4*B6*B5*B18</f>
        <v>3.0960000000000001</v>
      </c>
      <c r="C36" s="1" t="s">
        <v>58</v>
      </c>
      <c r="F36">
        <f>F34/B16</f>
        <v>0.24999999999999994</v>
      </c>
    </row>
    <row r="37" spans="1:21" x14ac:dyDescent="0.2">
      <c r="A37" s="1" t="s">
        <v>57</v>
      </c>
      <c r="B37" s="1">
        <v>9</v>
      </c>
      <c r="C37" s="1" t="s">
        <v>56</v>
      </c>
      <c r="D37" s="14">
        <f>B37/1000</f>
        <v>8.9999999999999993E-3</v>
      </c>
      <c r="E37" t="s">
        <v>19</v>
      </c>
    </row>
    <row r="38" spans="1:21" x14ac:dyDescent="0.2">
      <c r="A38" s="1" t="s">
        <v>54</v>
      </c>
      <c r="B38" s="1">
        <f>D37/1000</f>
        <v>8.9999999999999985E-6</v>
      </c>
      <c r="C38" s="1" t="s">
        <v>53</v>
      </c>
    </row>
    <row r="39" spans="1:21" x14ac:dyDescent="0.2">
      <c r="A39" s="1" t="s">
        <v>51</v>
      </c>
      <c r="B39" s="1">
        <f>D37*24</f>
        <v>0.21599999999999997</v>
      </c>
      <c r="C39" s="1" t="s">
        <v>50</v>
      </c>
    </row>
    <row r="41" spans="1:21" ht="16" thickBot="1" x14ac:dyDescent="0.25"/>
    <row r="42" spans="1:21" ht="17" thickTop="1" thickBot="1" x14ac:dyDescent="0.25">
      <c r="A42" s="90" t="s">
        <v>32</v>
      </c>
      <c r="B42" s="90"/>
      <c r="C42" s="90"/>
      <c r="D42" s="90"/>
      <c r="E42" s="90"/>
      <c r="F42" s="90"/>
      <c r="G42" s="90"/>
      <c r="H42" s="90"/>
      <c r="I42" s="90"/>
      <c r="J42" s="90"/>
      <c r="L42" s="90" t="s">
        <v>32</v>
      </c>
      <c r="M42" s="90"/>
      <c r="N42" s="90"/>
      <c r="O42" s="90"/>
      <c r="P42" s="90"/>
      <c r="Q42" s="90"/>
      <c r="R42" s="90"/>
      <c r="S42" s="90"/>
      <c r="T42" s="90"/>
      <c r="U42" s="90"/>
    </row>
    <row r="43" spans="1:21" ht="16" thickTop="1" x14ac:dyDescent="0.2">
      <c r="A43" s="93" t="s">
        <v>46</v>
      </c>
      <c r="B43" s="94"/>
      <c r="C43" s="94"/>
      <c r="D43" s="94"/>
      <c r="E43" s="94"/>
      <c r="F43" s="94"/>
      <c r="G43" s="94"/>
      <c r="H43" s="94"/>
      <c r="I43" s="94"/>
      <c r="J43" s="94"/>
      <c r="L43" s="93" t="s">
        <v>142</v>
      </c>
      <c r="M43" s="94"/>
      <c r="N43" s="94"/>
      <c r="O43" s="94"/>
      <c r="P43" s="94"/>
      <c r="Q43" s="94"/>
      <c r="R43" s="94"/>
      <c r="S43" s="94"/>
      <c r="T43" s="94"/>
      <c r="U43" s="94"/>
    </row>
    <row r="44" spans="1:21" x14ac:dyDescent="0.2">
      <c r="A44" s="9" t="s">
        <v>30</v>
      </c>
      <c r="B44" s="8" t="s">
        <v>29</v>
      </c>
      <c r="C44" s="8" t="s">
        <v>175</v>
      </c>
      <c r="D44" s="8" t="s">
        <v>44</v>
      </c>
      <c r="E44" s="8" t="s">
        <v>43</v>
      </c>
      <c r="F44" s="8" t="s">
        <v>42</v>
      </c>
      <c r="G44" s="8" t="s">
        <v>41</v>
      </c>
      <c r="H44" s="11" t="s">
        <v>28</v>
      </c>
      <c r="I44" s="9" t="s">
        <v>27</v>
      </c>
      <c r="J44" s="8" t="s">
        <v>27</v>
      </c>
      <c r="L44" s="9" t="s">
        <v>30</v>
      </c>
      <c r="M44" s="8" t="s">
        <v>29</v>
      </c>
      <c r="N44" s="8" t="s">
        <v>175</v>
      </c>
      <c r="O44" s="8" t="s">
        <v>44</v>
      </c>
      <c r="P44" s="8" t="s">
        <v>43</v>
      </c>
      <c r="Q44" s="8" t="s">
        <v>42</v>
      </c>
      <c r="R44" s="8" t="s">
        <v>41</v>
      </c>
      <c r="S44" s="11" t="s">
        <v>28</v>
      </c>
      <c r="T44" s="9" t="s">
        <v>27</v>
      </c>
      <c r="U44" s="8" t="s">
        <v>27</v>
      </c>
    </row>
    <row r="45" spans="1:21" x14ac:dyDescent="0.2">
      <c r="A45" s="9"/>
      <c r="B45" s="8" t="s">
        <v>26</v>
      </c>
      <c r="C45" s="8" t="s">
        <v>40</v>
      </c>
      <c r="D45" s="8" t="s">
        <v>39</v>
      </c>
      <c r="E45" s="8" t="s">
        <v>39</v>
      </c>
      <c r="F45" s="8" t="s">
        <v>38</v>
      </c>
      <c r="G45" s="8" t="s">
        <v>38</v>
      </c>
      <c r="H45" s="10" t="s">
        <v>26</v>
      </c>
      <c r="I45" s="9" t="s">
        <v>25</v>
      </c>
      <c r="J45" s="8" t="s">
        <v>24</v>
      </c>
      <c r="L45" s="9"/>
      <c r="M45" s="8" t="s">
        <v>26</v>
      </c>
      <c r="N45" s="8" t="s">
        <v>40</v>
      </c>
      <c r="O45" s="8" t="s">
        <v>39</v>
      </c>
      <c r="P45" s="8" t="s">
        <v>39</v>
      </c>
      <c r="Q45" s="8" t="s">
        <v>38</v>
      </c>
      <c r="R45" s="8" t="s">
        <v>38</v>
      </c>
      <c r="S45" s="10" t="s">
        <v>26</v>
      </c>
      <c r="T45" s="9" t="s">
        <v>25</v>
      </c>
      <c r="U45" s="8" t="s">
        <v>24</v>
      </c>
    </row>
    <row r="46" spans="1:21" x14ac:dyDescent="0.2">
      <c r="A46" s="13" t="s">
        <v>23</v>
      </c>
      <c r="B46" s="4">
        <f>MAX(M1_leaching!F3:G3)</f>
        <v>0</v>
      </c>
      <c r="C46" s="2">
        <f>2*(B46/1000)*$B$39</f>
        <v>0</v>
      </c>
      <c r="D46" s="2">
        <f>C46*$B$35/$B$34</f>
        <v>0</v>
      </c>
      <c r="E46" s="2">
        <f>C46*$B$36/$B$34</f>
        <v>0</v>
      </c>
      <c r="F46" s="2">
        <f>D46/$B$19</f>
        <v>0</v>
      </c>
      <c r="G46" s="2">
        <f>E46/$B$20</f>
        <v>0</v>
      </c>
      <c r="H46" s="7">
        <v>5.7000000000000002E-2</v>
      </c>
      <c r="I46" s="2">
        <f t="shared" ref="I46:I63" si="0">F46/H46</f>
        <v>0</v>
      </c>
      <c r="J46" s="2">
        <f t="shared" ref="J46:J63" si="1">G46/H46</f>
        <v>0</v>
      </c>
      <c r="L46" s="13" t="s">
        <v>23</v>
      </c>
      <c r="M46" s="4">
        <f>MAX(M1_leaching!F3:G3)</f>
        <v>0</v>
      </c>
      <c r="N46" s="2">
        <f>2*M46*$B$39/1000</f>
        <v>0</v>
      </c>
      <c r="O46" s="2">
        <f>N46*$B$35/$B$34</f>
        <v>0</v>
      </c>
      <c r="P46" s="2">
        <f>N46*$B$36/$B$34</f>
        <v>0</v>
      </c>
      <c r="Q46" s="2">
        <f>O46/($E$19*$B$30)</f>
        <v>0</v>
      </c>
      <c r="R46" s="2">
        <f>P46/($E$20*$E$30)</f>
        <v>0</v>
      </c>
      <c r="S46" s="7">
        <v>5.7000000000000002E-2</v>
      </c>
      <c r="T46" s="2">
        <f t="shared" ref="T46:T63" si="2">Q46/S46</f>
        <v>0</v>
      </c>
      <c r="U46" s="2">
        <f t="shared" ref="U46:U63" si="3">R46/S46</f>
        <v>0</v>
      </c>
    </row>
    <row r="47" spans="1:21" x14ac:dyDescent="0.2">
      <c r="A47" s="13" t="s">
        <v>22</v>
      </c>
      <c r="B47" s="4">
        <f>MAX(M1_leaching!F4:G4)</f>
        <v>17.399999999999999</v>
      </c>
      <c r="C47" s="2">
        <f>2*(B47/1000)*$B$39</f>
        <v>7.5167999999999988E-3</v>
      </c>
      <c r="D47" s="2">
        <f>C47*$B$35/$B$34</f>
        <v>2.5857791999999998E-2</v>
      </c>
      <c r="E47" s="2">
        <f>C47*$B$36/$B$34</f>
        <v>7.7573375999999999E-2</v>
      </c>
      <c r="F47" s="2">
        <f>D47/$B$19</f>
        <v>5.3870399999999983E-3</v>
      </c>
      <c r="G47" s="2">
        <f t="shared" ref="G47:G63" si="4">E47/$B$20</f>
        <v>1.2928896E-2</v>
      </c>
      <c r="H47" s="7">
        <v>114.7</v>
      </c>
      <c r="I47" s="2">
        <f t="shared" si="0"/>
        <v>4.6966346992153425E-5</v>
      </c>
      <c r="J47" s="2">
        <f t="shared" si="1"/>
        <v>1.1271923278116827E-4</v>
      </c>
      <c r="L47" s="13" t="s">
        <v>22</v>
      </c>
      <c r="M47" s="4">
        <f>MAX(M1_leaching!F4:G4)</f>
        <v>17.399999999999999</v>
      </c>
      <c r="N47" s="2">
        <f t="shared" ref="N47:N63" si="5">2*M47*$B$39/1000</f>
        <v>7.516799999999998E-3</v>
      </c>
      <c r="O47" s="2">
        <f t="shared" ref="O47:O63" si="6">N47*$B$35/$B$34</f>
        <v>2.5857791999999994E-2</v>
      </c>
      <c r="P47" s="2">
        <f t="shared" ref="P47" si="7">N47*$B$36/$B$34</f>
        <v>7.7573375999999986E-2</v>
      </c>
      <c r="Q47" s="2">
        <f t="shared" ref="Q47:Q63" si="8">O47/($E$19*$B$30)</f>
        <v>6.6506666666666638E-7</v>
      </c>
      <c r="R47" s="2">
        <f t="shared" ref="R47:R63" si="9">P47/($E$20*$E$30)</f>
        <v>1.5961599999999992E-6</v>
      </c>
      <c r="S47" s="7">
        <v>114.7</v>
      </c>
      <c r="T47" s="2">
        <f t="shared" si="2"/>
        <v>5.7983144434757314E-9</v>
      </c>
      <c r="U47" s="2">
        <f t="shared" si="3"/>
        <v>1.3915954664341753E-8</v>
      </c>
    </row>
    <row r="48" spans="1:21" x14ac:dyDescent="0.2">
      <c r="A48" s="13" t="s">
        <v>20</v>
      </c>
      <c r="B48" s="4">
        <f>MAX(M1_leaching!F5:G5)</f>
        <v>143</v>
      </c>
      <c r="C48" s="2">
        <f t="shared" ref="C48:C63" si="10">2*(B48/1000)*$B$39</f>
        <v>6.1775999999999984E-2</v>
      </c>
      <c r="D48" s="2">
        <f t="shared" ref="D48:D63" si="11">C48*$B$35/$B$34</f>
        <v>0.21250943999999994</v>
      </c>
      <c r="E48" s="2">
        <f t="shared" ref="E48:E63" si="12">C48*$B$36/$B$34</f>
        <v>0.63752831999999982</v>
      </c>
      <c r="F48" s="2">
        <f t="shared" ref="F48:F63" si="13">D48/$B$19</f>
        <v>4.427279999999998E-2</v>
      </c>
      <c r="G48" s="2">
        <f t="shared" si="4"/>
        <v>0.10625471999999997</v>
      </c>
      <c r="H48" s="6">
        <v>2900</v>
      </c>
      <c r="I48" s="2">
        <f t="shared" si="0"/>
        <v>1.5266482758620683E-5</v>
      </c>
      <c r="J48" s="2">
        <f t="shared" si="1"/>
        <v>3.6639558620689642E-5</v>
      </c>
      <c r="L48" s="13" t="s">
        <v>20</v>
      </c>
      <c r="M48" s="4">
        <f>MAX(M1_leaching!F5:G5)</f>
        <v>143</v>
      </c>
      <c r="N48" s="2">
        <f t="shared" si="5"/>
        <v>6.1775999999999991E-2</v>
      </c>
      <c r="O48" s="2">
        <f t="shared" si="6"/>
        <v>0.21250943999999999</v>
      </c>
      <c r="P48" s="2">
        <f>N48*$B$36/$B$34</f>
        <v>0.63752831999999993</v>
      </c>
      <c r="Q48" s="2">
        <f t="shared" si="8"/>
        <v>5.4657777777777766E-6</v>
      </c>
      <c r="R48" s="2">
        <f t="shared" si="9"/>
        <v>1.3117866666666662E-5</v>
      </c>
      <c r="S48" s="6">
        <v>2900</v>
      </c>
      <c r="T48" s="2">
        <f t="shared" si="2"/>
        <v>1.8847509578544058E-9</v>
      </c>
      <c r="U48" s="2">
        <f t="shared" si="3"/>
        <v>4.5234022988505732E-9</v>
      </c>
    </row>
    <row r="49" spans="1:21" s="87" customFormat="1" x14ac:dyDescent="0.2">
      <c r="A49" s="83" t="s">
        <v>18</v>
      </c>
      <c r="B49" s="84">
        <f>MAX(M1_leaching!F6:G6)</f>
        <v>2.64</v>
      </c>
      <c r="C49" s="85">
        <f t="shared" si="10"/>
        <v>1.1404799999999999E-3</v>
      </c>
      <c r="D49" s="85">
        <f t="shared" si="11"/>
        <v>3.9232512000000001E-3</v>
      </c>
      <c r="E49" s="85">
        <f t="shared" si="12"/>
        <v>1.17697536E-2</v>
      </c>
      <c r="F49" s="85">
        <f t="shared" si="13"/>
        <v>8.173439999999999E-4</v>
      </c>
      <c r="G49" s="85">
        <f t="shared" si="4"/>
        <v>1.9616256E-3</v>
      </c>
      <c r="H49" s="86">
        <v>1.06</v>
      </c>
      <c r="I49" s="85">
        <f t="shared" si="0"/>
        <v>7.7107924528301876E-4</v>
      </c>
      <c r="J49" s="85">
        <f t="shared" si="1"/>
        <v>1.8505901886792452E-3</v>
      </c>
      <c r="L49" s="83" t="s">
        <v>18</v>
      </c>
      <c r="M49" s="84">
        <f>MAX(M1_leaching!F6:G6)</f>
        <v>2.64</v>
      </c>
      <c r="N49" s="85">
        <f t="shared" si="5"/>
        <v>1.1404799999999999E-3</v>
      </c>
      <c r="O49" s="85">
        <f t="shared" si="6"/>
        <v>3.9232512000000001E-3</v>
      </c>
      <c r="P49" s="85">
        <f t="shared" ref="P49:P63" si="14">N49*$B$36/$B$34</f>
        <v>1.17697536E-2</v>
      </c>
      <c r="Q49" s="85">
        <f t="shared" si="8"/>
        <v>1.0090666666666665E-7</v>
      </c>
      <c r="R49" s="85">
        <f t="shared" si="9"/>
        <v>2.4217599999999996E-7</v>
      </c>
      <c r="S49" s="86">
        <v>1.06</v>
      </c>
      <c r="T49" s="85">
        <f t="shared" si="2"/>
        <v>9.5194968553459099E-8</v>
      </c>
      <c r="U49" s="85">
        <f t="shared" si="3"/>
        <v>2.2846792452830183E-7</v>
      </c>
    </row>
    <row r="50" spans="1:21" s="87" customFormat="1" x14ac:dyDescent="0.2">
      <c r="A50" s="88" t="s">
        <v>17</v>
      </c>
      <c r="B50" s="84">
        <f>MAX(M1_leaching!F7:G7)</f>
        <v>65.099999999999994</v>
      </c>
      <c r="C50" s="85">
        <f t="shared" si="10"/>
        <v>2.8123199999999991E-2</v>
      </c>
      <c r="D50" s="85">
        <f t="shared" si="11"/>
        <v>9.6743807999999973E-2</v>
      </c>
      <c r="E50" s="85">
        <f t="shared" si="12"/>
        <v>0.29023142399999996</v>
      </c>
      <c r="F50" s="85">
        <f t="shared" si="13"/>
        <v>2.0154959999999993E-2</v>
      </c>
      <c r="G50" s="85">
        <f t="shared" si="4"/>
        <v>4.8371903999999993E-2</v>
      </c>
      <c r="H50" s="86">
        <v>6.3</v>
      </c>
      <c r="I50" s="85">
        <f t="shared" si="0"/>
        <v>3.1991999999999988E-3</v>
      </c>
      <c r="J50" s="85">
        <f t="shared" si="1"/>
        <v>7.6780799999999995E-3</v>
      </c>
      <c r="L50" s="88" t="s">
        <v>17</v>
      </c>
      <c r="M50" s="84">
        <f>MAX(M1_leaching!F7:G7)</f>
        <v>65.099999999999994</v>
      </c>
      <c r="N50" s="85">
        <f t="shared" si="5"/>
        <v>2.8123199999999994E-2</v>
      </c>
      <c r="O50" s="85">
        <f t="shared" si="6"/>
        <v>9.6743807999999987E-2</v>
      </c>
      <c r="P50" s="85">
        <f t="shared" si="14"/>
        <v>0.29023142399999996</v>
      </c>
      <c r="Q50" s="85">
        <f t="shared" si="8"/>
        <v>2.4882666666666657E-6</v>
      </c>
      <c r="R50" s="85">
        <f t="shared" si="9"/>
        <v>5.971839999999997E-6</v>
      </c>
      <c r="S50" s="86">
        <v>6.3</v>
      </c>
      <c r="T50" s="85">
        <f t="shared" si="2"/>
        <v>3.9496296296296284E-7</v>
      </c>
      <c r="U50" s="85">
        <f t="shared" si="3"/>
        <v>9.4791111111111063E-7</v>
      </c>
    </row>
    <row r="51" spans="1:21" x14ac:dyDescent="0.2">
      <c r="A51" s="79" t="s">
        <v>16</v>
      </c>
      <c r="B51" s="4">
        <f>MAX(M1_leaching!F8:G8)</f>
        <v>0</v>
      </c>
      <c r="C51" s="2">
        <f t="shared" si="10"/>
        <v>0</v>
      </c>
      <c r="D51" s="2">
        <f t="shared" si="11"/>
        <v>0</v>
      </c>
      <c r="E51" s="2">
        <f t="shared" si="12"/>
        <v>0</v>
      </c>
      <c r="F51" s="2">
        <f t="shared" si="13"/>
        <v>0</v>
      </c>
      <c r="G51" s="2">
        <f t="shared" si="4"/>
        <v>0</v>
      </c>
      <c r="H51" s="3">
        <v>1650</v>
      </c>
      <c r="I51" s="2">
        <f t="shared" si="0"/>
        <v>0</v>
      </c>
      <c r="J51" s="2">
        <f t="shared" si="1"/>
        <v>0</v>
      </c>
      <c r="L51" s="5" t="s">
        <v>16</v>
      </c>
      <c r="M51" s="4">
        <f>MAX(M1_leaching!F8:G8)</f>
        <v>0</v>
      </c>
      <c r="N51" s="2">
        <f t="shared" si="5"/>
        <v>0</v>
      </c>
      <c r="O51" s="2">
        <f t="shared" si="6"/>
        <v>0</v>
      </c>
      <c r="P51" s="2">
        <f t="shared" si="14"/>
        <v>0</v>
      </c>
      <c r="Q51" s="2">
        <f t="shared" si="8"/>
        <v>0</v>
      </c>
      <c r="R51" s="2">
        <f t="shared" si="9"/>
        <v>0</v>
      </c>
      <c r="S51" s="3">
        <v>1650</v>
      </c>
      <c r="T51" s="2">
        <f t="shared" si="2"/>
        <v>0</v>
      </c>
      <c r="U51" s="2">
        <f t="shared" si="3"/>
        <v>0</v>
      </c>
    </row>
    <row r="52" spans="1:21" s="87" customFormat="1" x14ac:dyDescent="0.2">
      <c r="A52" s="88" t="s">
        <v>14</v>
      </c>
      <c r="B52" s="84">
        <f>MAX(M1_leaching!F9:G9)</f>
        <v>373</v>
      </c>
      <c r="C52" s="85">
        <f t="shared" si="10"/>
        <v>0.16113599999999997</v>
      </c>
      <c r="D52" s="85">
        <f t="shared" si="11"/>
        <v>0.55430784</v>
      </c>
      <c r="E52" s="85">
        <f t="shared" si="12"/>
        <v>1.6629235199999999</v>
      </c>
      <c r="F52" s="85">
        <f t="shared" si="13"/>
        <v>0.11548079999999998</v>
      </c>
      <c r="G52" s="85">
        <f t="shared" si="4"/>
        <v>0.27715392</v>
      </c>
      <c r="H52" s="86">
        <v>34</v>
      </c>
      <c r="I52" s="85">
        <f t="shared" si="0"/>
        <v>3.3964941176470582E-3</v>
      </c>
      <c r="J52" s="85">
        <f t="shared" si="1"/>
        <v>8.1515858823529418E-3</v>
      </c>
      <c r="L52" s="88" t="s">
        <v>14</v>
      </c>
      <c r="M52" s="84">
        <f>MAX(M1_leaching!F9:G9)</f>
        <v>373</v>
      </c>
      <c r="N52" s="85">
        <f t="shared" si="5"/>
        <v>0.16113599999999997</v>
      </c>
      <c r="O52" s="85">
        <f t="shared" si="6"/>
        <v>0.55430784</v>
      </c>
      <c r="P52" s="85">
        <f t="shared" si="14"/>
        <v>1.6629235199999999</v>
      </c>
      <c r="Q52" s="85">
        <f t="shared" si="8"/>
        <v>1.4256888888888887E-5</v>
      </c>
      <c r="R52" s="85">
        <f t="shared" si="9"/>
        <v>3.421653333333332E-5</v>
      </c>
      <c r="S52" s="86">
        <v>34</v>
      </c>
      <c r="T52" s="85">
        <f t="shared" si="2"/>
        <v>4.1932026143790843E-7</v>
      </c>
      <c r="U52" s="85">
        <f t="shared" si="3"/>
        <v>1.0063686274509801E-6</v>
      </c>
    </row>
    <row r="53" spans="1:21" x14ac:dyDescent="0.2">
      <c r="A53" s="79" t="s">
        <v>13</v>
      </c>
      <c r="B53" s="4">
        <f>MAX(M1_leaching!F10:G10)</f>
        <v>0</v>
      </c>
      <c r="C53" s="2">
        <f t="shared" si="10"/>
        <v>0</v>
      </c>
      <c r="D53" s="2">
        <f t="shared" si="11"/>
        <v>0</v>
      </c>
      <c r="E53" s="2">
        <f t="shared" si="12"/>
        <v>0</v>
      </c>
      <c r="F53" s="2">
        <f t="shared" si="13"/>
        <v>0</v>
      </c>
      <c r="G53" s="2">
        <f t="shared" si="4"/>
        <v>0</v>
      </c>
      <c r="H53" s="3">
        <v>11900</v>
      </c>
      <c r="I53" s="2">
        <f t="shared" si="0"/>
        <v>0</v>
      </c>
      <c r="J53" s="2">
        <f t="shared" si="1"/>
        <v>0</v>
      </c>
      <c r="L53" s="5" t="s">
        <v>13</v>
      </c>
      <c r="M53" s="4">
        <f>MAX(M1_leaching!F10:G10)</f>
        <v>0</v>
      </c>
      <c r="N53" s="2">
        <f t="shared" si="5"/>
        <v>0</v>
      </c>
      <c r="O53" s="2">
        <f t="shared" si="6"/>
        <v>0</v>
      </c>
      <c r="P53" s="2">
        <f t="shared" si="14"/>
        <v>0</v>
      </c>
      <c r="Q53" s="2">
        <f t="shared" si="8"/>
        <v>0</v>
      </c>
      <c r="R53" s="2">
        <f t="shared" si="9"/>
        <v>0</v>
      </c>
      <c r="S53" s="3">
        <v>11900</v>
      </c>
      <c r="T53" s="2">
        <f t="shared" si="2"/>
        <v>0</v>
      </c>
      <c r="U53" s="2">
        <f t="shared" si="3"/>
        <v>0</v>
      </c>
    </row>
    <row r="54" spans="1:21" x14ac:dyDescent="0.2">
      <c r="A54" s="79" t="s">
        <v>11</v>
      </c>
      <c r="B54" s="4">
        <f>MAX(M1_leaching!F11:G11)</f>
        <v>0</v>
      </c>
      <c r="C54" s="2">
        <f t="shared" si="10"/>
        <v>0</v>
      </c>
      <c r="D54" s="2">
        <f t="shared" si="11"/>
        <v>0</v>
      </c>
      <c r="E54" s="2">
        <f t="shared" si="12"/>
        <v>0</v>
      </c>
      <c r="F54" s="2">
        <f t="shared" si="13"/>
        <v>0</v>
      </c>
      <c r="G54" s="2">
        <f t="shared" si="4"/>
        <v>0</v>
      </c>
      <c r="H54" s="3">
        <v>37</v>
      </c>
      <c r="I54" s="2">
        <f t="shared" si="0"/>
        <v>0</v>
      </c>
      <c r="J54" s="2">
        <f t="shared" si="1"/>
        <v>0</v>
      </c>
      <c r="L54" s="5" t="s">
        <v>11</v>
      </c>
      <c r="M54" s="4">
        <f>MAX(M1_leaching!F11:G11)</f>
        <v>0</v>
      </c>
      <c r="N54" s="2">
        <f t="shared" si="5"/>
        <v>0</v>
      </c>
      <c r="O54" s="2">
        <f t="shared" si="6"/>
        <v>0</v>
      </c>
      <c r="P54" s="2">
        <f t="shared" si="14"/>
        <v>0</v>
      </c>
      <c r="Q54" s="2">
        <f t="shared" si="8"/>
        <v>0</v>
      </c>
      <c r="R54" s="2">
        <f t="shared" si="9"/>
        <v>0</v>
      </c>
      <c r="S54" s="3">
        <v>37</v>
      </c>
      <c r="T54" s="2">
        <f t="shared" si="2"/>
        <v>0</v>
      </c>
      <c r="U54" s="2">
        <f t="shared" si="3"/>
        <v>0</v>
      </c>
    </row>
    <row r="55" spans="1:21" x14ac:dyDescent="0.2">
      <c r="A55" s="5" t="s">
        <v>10</v>
      </c>
      <c r="B55" s="4">
        <f>MAX(M1_leaching!F12:G12)</f>
        <v>2.4</v>
      </c>
      <c r="C55" s="2">
        <f t="shared" si="10"/>
        <v>1.0367999999999998E-3</v>
      </c>
      <c r="D55" s="2">
        <f t="shared" si="11"/>
        <v>3.5665919999999999E-3</v>
      </c>
      <c r="E55" s="2">
        <f t="shared" si="12"/>
        <v>1.0699775999999998E-2</v>
      </c>
      <c r="F55" s="2">
        <f t="shared" si="13"/>
        <v>7.4303999999999982E-4</v>
      </c>
      <c r="G55" s="2">
        <f t="shared" si="4"/>
        <v>1.7832959999999995E-3</v>
      </c>
      <c r="H55" s="3">
        <v>4.0999999999999996</v>
      </c>
      <c r="I55" s="2">
        <f t="shared" si="0"/>
        <v>1.8122926829268289E-4</v>
      </c>
      <c r="J55" s="2">
        <f t="shared" si="1"/>
        <v>4.3495024390243896E-4</v>
      </c>
      <c r="L55" s="5" t="s">
        <v>10</v>
      </c>
      <c r="M55" s="4">
        <f>MAX(M1_leaching!F12:G12)</f>
        <v>2.4</v>
      </c>
      <c r="N55" s="2">
        <f t="shared" si="5"/>
        <v>1.0367999999999996E-3</v>
      </c>
      <c r="O55" s="2">
        <f t="shared" si="6"/>
        <v>3.5665919999999991E-3</v>
      </c>
      <c r="P55" s="2">
        <f t="shared" si="14"/>
        <v>1.0699775999999998E-2</v>
      </c>
      <c r="Q55" s="2">
        <f t="shared" si="8"/>
        <v>9.1733333333333294E-8</v>
      </c>
      <c r="R55" s="2">
        <f t="shared" si="9"/>
        <v>2.2015999999999988E-7</v>
      </c>
      <c r="S55" s="3">
        <v>4.0999999999999996</v>
      </c>
      <c r="T55" s="2">
        <f t="shared" si="2"/>
        <v>2.2373983739837391E-8</v>
      </c>
      <c r="U55" s="2">
        <f t="shared" si="3"/>
        <v>5.369756097560973E-8</v>
      </c>
    </row>
    <row r="56" spans="1:21" s="87" customFormat="1" x14ac:dyDescent="0.2">
      <c r="A56" s="88" t="s">
        <v>9</v>
      </c>
      <c r="B56" s="84">
        <f>MAX(M1_leaching!F13:G13)</f>
        <v>884</v>
      </c>
      <c r="C56" s="85">
        <f t="shared" si="10"/>
        <v>0.38188799999999995</v>
      </c>
      <c r="D56" s="85">
        <f t="shared" si="11"/>
        <v>1.31369472</v>
      </c>
      <c r="E56" s="85">
        <f t="shared" si="12"/>
        <v>3.9410841599999999</v>
      </c>
      <c r="F56" s="85">
        <f t="shared" si="13"/>
        <v>0.27368639999999994</v>
      </c>
      <c r="G56" s="85">
        <f t="shared" si="4"/>
        <v>0.65684735999999999</v>
      </c>
      <c r="H56" s="86">
        <v>14.4</v>
      </c>
      <c r="I56" s="85">
        <f t="shared" si="0"/>
        <v>1.9005999999999995E-2</v>
      </c>
      <c r="J56" s="85">
        <f>G56/H56</f>
        <v>4.5614399999999999E-2</v>
      </c>
      <c r="L56" s="88" t="s">
        <v>9</v>
      </c>
      <c r="M56" s="84">
        <f>MAX(M1_leaching!F13:G13)</f>
        <v>884</v>
      </c>
      <c r="N56" s="85">
        <f t="shared" si="5"/>
        <v>0.38188799999999989</v>
      </c>
      <c r="O56" s="85">
        <f t="shared" si="6"/>
        <v>1.3136947199999998</v>
      </c>
      <c r="P56" s="85">
        <f t="shared" si="14"/>
        <v>3.9410841599999991</v>
      </c>
      <c r="Q56" s="85">
        <f t="shared" si="8"/>
        <v>3.3788444444444432E-5</v>
      </c>
      <c r="R56" s="85">
        <f t="shared" si="9"/>
        <v>8.1092266666666629E-5</v>
      </c>
      <c r="S56" s="86">
        <v>14.4</v>
      </c>
      <c r="T56" s="85">
        <f t="shared" si="2"/>
        <v>2.346419753086419E-6</v>
      </c>
      <c r="U56" s="85">
        <f t="shared" si="3"/>
        <v>5.6314074074074045E-6</v>
      </c>
    </row>
    <row r="57" spans="1:21" x14ac:dyDescent="0.2">
      <c r="A57" s="5" t="s">
        <v>6</v>
      </c>
      <c r="B57" s="4">
        <f>MAX(M1_leaching!F14:G14)</f>
        <v>0.08</v>
      </c>
      <c r="C57" s="2">
        <f t="shared" si="10"/>
        <v>3.4560000000000001E-5</v>
      </c>
      <c r="D57" s="2">
        <f t="shared" si="11"/>
        <v>1.1888640000000001E-4</v>
      </c>
      <c r="E57" s="2">
        <f t="shared" si="12"/>
        <v>3.5665920000000002E-4</v>
      </c>
      <c r="F57" s="2">
        <f t="shared" si="13"/>
        <v>2.4768000000000001E-5</v>
      </c>
      <c r="G57" s="2">
        <f t="shared" si="4"/>
        <v>5.94432E-5</v>
      </c>
      <c r="H57" s="3">
        <v>0.19</v>
      </c>
      <c r="I57" s="2">
        <f t="shared" si="0"/>
        <v>1.303578947368421E-4</v>
      </c>
      <c r="J57" s="2">
        <f t="shared" si="1"/>
        <v>3.1285894736842108E-4</v>
      </c>
      <c r="L57" s="5" t="s">
        <v>6</v>
      </c>
      <c r="M57" s="4">
        <f>MAX(M1_leaching!F14:G14)</f>
        <v>0.08</v>
      </c>
      <c r="N57" s="2">
        <f t="shared" si="5"/>
        <v>3.4559999999999994E-5</v>
      </c>
      <c r="O57" s="2">
        <f t="shared" si="6"/>
        <v>1.1888639999999999E-4</v>
      </c>
      <c r="P57" s="2">
        <f t="shared" si="14"/>
        <v>3.5665919999999996E-4</v>
      </c>
      <c r="Q57" s="2">
        <f t="shared" si="8"/>
        <v>3.057777777777777E-9</v>
      </c>
      <c r="R57" s="2">
        <f t="shared" si="9"/>
        <v>7.3386666666666637E-9</v>
      </c>
      <c r="S57" s="3">
        <v>0.19</v>
      </c>
      <c r="T57" s="2">
        <f t="shared" si="2"/>
        <v>1.6093567251461982E-8</v>
      </c>
      <c r="U57" s="2">
        <f t="shared" si="3"/>
        <v>3.8624561403508754E-8</v>
      </c>
    </row>
    <row r="58" spans="1:21" x14ac:dyDescent="0.2">
      <c r="A58" s="5" t="s">
        <v>5</v>
      </c>
      <c r="B58" s="4">
        <f>MAX(M1_leaching!F15:G15)</f>
        <v>1.06</v>
      </c>
      <c r="C58" s="2">
        <f t="shared" si="10"/>
        <v>4.579199999999999E-4</v>
      </c>
      <c r="D58" s="2">
        <f t="shared" si="11"/>
        <v>1.5752447999999998E-3</v>
      </c>
      <c r="E58" s="2">
        <f t="shared" si="12"/>
        <v>4.7257343999999989E-3</v>
      </c>
      <c r="F58" s="2">
        <f t="shared" si="13"/>
        <v>3.281759999999999E-4</v>
      </c>
      <c r="G58" s="2">
        <f t="shared" si="4"/>
        <v>7.8762239999999979E-4</v>
      </c>
      <c r="H58" s="3">
        <v>6.5</v>
      </c>
      <c r="I58" s="2">
        <f t="shared" si="0"/>
        <v>5.0488615384615372E-5</v>
      </c>
      <c r="J58" s="2">
        <f t="shared" si="1"/>
        <v>1.2117267692307689E-4</v>
      </c>
      <c r="L58" s="5" t="s">
        <v>5</v>
      </c>
      <c r="M58" s="4">
        <f>MAX(M1_leaching!F15:G15)</f>
        <v>1.06</v>
      </c>
      <c r="N58" s="2">
        <f t="shared" si="5"/>
        <v>4.5791999999999995E-4</v>
      </c>
      <c r="O58" s="2">
        <f t="shared" si="6"/>
        <v>1.5752448E-3</v>
      </c>
      <c r="P58" s="2">
        <f t="shared" si="14"/>
        <v>4.7257343999999998E-3</v>
      </c>
      <c r="Q58" s="2">
        <f t="shared" si="8"/>
        <v>4.0515555555555547E-8</v>
      </c>
      <c r="R58" s="2">
        <f t="shared" si="9"/>
        <v>9.7237333333333302E-8</v>
      </c>
      <c r="S58" s="3">
        <v>6.5</v>
      </c>
      <c r="T58" s="2">
        <f t="shared" si="2"/>
        <v>6.2331623931623918E-9</v>
      </c>
      <c r="U58" s="2">
        <f t="shared" si="3"/>
        <v>1.4959589743589738E-8</v>
      </c>
    </row>
    <row r="59" spans="1:21" x14ac:dyDescent="0.2">
      <c r="A59" s="5" t="s">
        <v>4</v>
      </c>
      <c r="B59" s="4">
        <f>MAX(M1_leaching!F16:G16)</f>
        <v>27.8</v>
      </c>
      <c r="C59" s="2">
        <f t="shared" si="10"/>
        <v>1.2009599999999999E-2</v>
      </c>
      <c r="D59" s="2">
        <f t="shared" si="11"/>
        <v>4.1313023999999997E-2</v>
      </c>
      <c r="E59" s="2">
        <f t="shared" si="12"/>
        <v>0.12393907199999998</v>
      </c>
      <c r="F59" s="2">
        <f t="shared" si="13"/>
        <v>8.6068799999999973E-3</v>
      </c>
      <c r="G59" s="2">
        <f t="shared" si="4"/>
        <v>2.0656511999999998E-2</v>
      </c>
      <c r="H59" s="3">
        <v>20</v>
      </c>
      <c r="I59" s="2">
        <f t="shared" si="0"/>
        <v>4.3034399999999988E-4</v>
      </c>
      <c r="J59" s="2">
        <f t="shared" si="1"/>
        <v>1.0328256E-3</v>
      </c>
      <c r="L59" s="5" t="s">
        <v>4</v>
      </c>
      <c r="M59" s="4">
        <f>MAX(M1_leaching!F16:G16)</f>
        <v>27.8</v>
      </c>
      <c r="N59" s="2">
        <f t="shared" si="5"/>
        <v>1.2009599999999999E-2</v>
      </c>
      <c r="O59" s="2">
        <f t="shared" si="6"/>
        <v>4.1313023999999997E-2</v>
      </c>
      <c r="P59" s="2">
        <f t="shared" si="14"/>
        <v>0.12393907199999998</v>
      </c>
      <c r="Q59" s="2">
        <f t="shared" si="8"/>
        <v>1.0625777777777776E-6</v>
      </c>
      <c r="R59" s="2">
        <f t="shared" si="9"/>
        <v>2.5501866666666656E-6</v>
      </c>
      <c r="S59" s="3">
        <v>20</v>
      </c>
      <c r="T59" s="2">
        <f t="shared" si="2"/>
        <v>5.3128888888888878E-8</v>
      </c>
      <c r="U59" s="2">
        <f t="shared" si="3"/>
        <v>1.2750933333333327E-7</v>
      </c>
    </row>
    <row r="60" spans="1:21" x14ac:dyDescent="0.2">
      <c r="A60" s="5" t="s">
        <v>3</v>
      </c>
      <c r="B60" s="4">
        <f>MAX(M1_leaching!F17:G17)</f>
        <v>1.54</v>
      </c>
      <c r="C60" s="2">
        <f t="shared" si="10"/>
        <v>6.6527999999999997E-4</v>
      </c>
      <c r="D60" s="2">
        <f t="shared" si="11"/>
        <v>2.2885632E-3</v>
      </c>
      <c r="E60" s="2">
        <f t="shared" si="12"/>
        <v>6.8656896000000005E-3</v>
      </c>
      <c r="F60" s="2">
        <f t="shared" si="13"/>
        <v>4.7678399999999995E-4</v>
      </c>
      <c r="G60" s="2">
        <f t="shared" si="4"/>
        <v>1.1442816E-3</v>
      </c>
      <c r="H60" s="3">
        <v>2.4</v>
      </c>
      <c r="I60" s="2">
        <f t="shared" si="0"/>
        <v>1.9866E-4</v>
      </c>
      <c r="J60" s="2">
        <f t="shared" si="1"/>
        <v>4.7678400000000001E-4</v>
      </c>
      <c r="L60" s="5" t="s">
        <v>3</v>
      </c>
      <c r="M60" s="4">
        <f>MAX(M1_leaching!F17:G17)</f>
        <v>1.54</v>
      </c>
      <c r="N60" s="2">
        <f t="shared" si="5"/>
        <v>6.6527999999999986E-4</v>
      </c>
      <c r="O60" s="2">
        <f t="shared" si="6"/>
        <v>2.2885631999999996E-3</v>
      </c>
      <c r="P60" s="2">
        <f t="shared" si="14"/>
        <v>6.8656895999999988E-3</v>
      </c>
      <c r="Q60" s="2">
        <f t="shared" si="8"/>
        <v>5.8862222222222203E-8</v>
      </c>
      <c r="R60" s="2">
        <f t="shared" si="9"/>
        <v>1.4126933333333326E-7</v>
      </c>
      <c r="S60" s="3">
        <v>2.4</v>
      </c>
      <c r="T60" s="2">
        <f t="shared" si="2"/>
        <v>2.452592592592592E-8</v>
      </c>
      <c r="U60" s="2">
        <f t="shared" si="3"/>
        <v>5.886222222222219E-8</v>
      </c>
    </row>
    <row r="61" spans="1:21" x14ac:dyDescent="0.2">
      <c r="A61" s="5" t="s">
        <v>2</v>
      </c>
      <c r="B61" s="4">
        <f>MAX(M1_leaching!F18:G18)</f>
        <v>2.5499999999999998</v>
      </c>
      <c r="C61" s="2">
        <f t="shared" si="10"/>
        <v>1.1015999999999997E-3</v>
      </c>
      <c r="D61" s="2">
        <f t="shared" si="11"/>
        <v>3.7895039999999995E-3</v>
      </c>
      <c r="E61" s="2">
        <f t="shared" si="12"/>
        <v>1.1368511999999997E-2</v>
      </c>
      <c r="F61" s="2">
        <f t="shared" si="13"/>
        <v>7.8947999999999974E-4</v>
      </c>
      <c r="G61" s="2">
        <f t="shared" si="4"/>
        <v>1.8947519999999995E-3</v>
      </c>
      <c r="H61" s="3">
        <v>5.6</v>
      </c>
      <c r="I61" s="2">
        <f t="shared" si="0"/>
        <v>1.4097857142857139E-4</v>
      </c>
      <c r="J61" s="2">
        <f t="shared" si="1"/>
        <v>3.3834857142857138E-4</v>
      </c>
      <c r="L61" s="5" t="s">
        <v>2</v>
      </c>
      <c r="M61" s="4">
        <f>MAX(M1_leaching!F18:G18)</f>
        <v>2.5499999999999998</v>
      </c>
      <c r="N61" s="2">
        <f t="shared" si="5"/>
        <v>1.1015999999999997E-3</v>
      </c>
      <c r="O61" s="2">
        <f t="shared" si="6"/>
        <v>3.7895039999999995E-3</v>
      </c>
      <c r="P61" s="2">
        <f t="shared" si="14"/>
        <v>1.1368511999999997E-2</v>
      </c>
      <c r="Q61" s="2">
        <f t="shared" si="8"/>
        <v>9.7466666666666639E-8</v>
      </c>
      <c r="R61" s="2">
        <f t="shared" si="9"/>
        <v>2.3391999999999989E-7</v>
      </c>
      <c r="S61" s="3">
        <v>5.6</v>
      </c>
      <c r="T61" s="2">
        <f t="shared" si="2"/>
        <v>1.7404761904761901E-8</v>
      </c>
      <c r="U61" s="2">
        <f t="shared" si="3"/>
        <v>4.1771428571428551E-8</v>
      </c>
    </row>
    <row r="62" spans="1:21" s="87" customFormat="1" x14ac:dyDescent="0.2">
      <c r="A62" s="88" t="s">
        <v>1</v>
      </c>
      <c r="B62" s="84">
        <f>MAX(M1_leaching!F19:G19)</f>
        <v>797</v>
      </c>
      <c r="C62" s="85">
        <f t="shared" si="10"/>
        <v>0.34430399999999994</v>
      </c>
      <c r="D62" s="85">
        <f t="shared" si="11"/>
        <v>1.18440576</v>
      </c>
      <c r="E62" s="85">
        <f t="shared" si="12"/>
        <v>3.5532172800000001</v>
      </c>
      <c r="F62" s="85">
        <f t="shared" si="13"/>
        <v>0.24675119999999995</v>
      </c>
      <c r="G62" s="85">
        <f t="shared" si="4"/>
        <v>0.59220287999999999</v>
      </c>
      <c r="H62" s="86">
        <v>28</v>
      </c>
      <c r="I62" s="85">
        <f t="shared" si="0"/>
        <v>8.8125428571428546E-3</v>
      </c>
      <c r="J62" s="85">
        <f t="shared" si="1"/>
        <v>2.1150102857142857E-2</v>
      </c>
      <c r="L62" s="88" t="s">
        <v>1</v>
      </c>
      <c r="M62" s="84">
        <f>MAX(M1_leaching!F19:G19)</f>
        <v>797</v>
      </c>
      <c r="N62" s="85">
        <f t="shared" si="5"/>
        <v>0.344304</v>
      </c>
      <c r="O62" s="85">
        <f t="shared" si="6"/>
        <v>1.18440576</v>
      </c>
      <c r="P62" s="85">
        <f t="shared" si="14"/>
        <v>3.5532172800000001</v>
      </c>
      <c r="Q62" s="85">
        <f t="shared" si="8"/>
        <v>3.0463111111111105E-5</v>
      </c>
      <c r="R62" s="85">
        <f t="shared" si="9"/>
        <v>7.3111466666666653E-5</v>
      </c>
      <c r="S62" s="86">
        <v>28</v>
      </c>
      <c r="T62" s="85">
        <f t="shared" si="2"/>
        <v>1.0879682539682537E-6</v>
      </c>
      <c r="U62" s="85">
        <f t="shared" si="3"/>
        <v>2.6111238095238091E-6</v>
      </c>
    </row>
    <row r="63" spans="1:21" ht="16" thickBot="1" x14ac:dyDescent="0.25">
      <c r="A63" s="79" t="s">
        <v>0</v>
      </c>
      <c r="B63" s="4">
        <f>MAX(M1_leaching!F20:G20)</f>
        <v>0</v>
      </c>
      <c r="C63" s="2">
        <f t="shared" si="10"/>
        <v>0</v>
      </c>
      <c r="D63" s="2">
        <f t="shared" si="11"/>
        <v>0</v>
      </c>
      <c r="E63" s="2">
        <f t="shared" si="12"/>
        <v>0</v>
      </c>
      <c r="F63" s="2">
        <f t="shared" si="13"/>
        <v>0</v>
      </c>
      <c r="G63" s="2">
        <f t="shared" si="4"/>
        <v>0</v>
      </c>
      <c r="H63" s="3">
        <v>170</v>
      </c>
      <c r="I63" s="2">
        <f t="shared" si="0"/>
        <v>0</v>
      </c>
      <c r="J63" s="2">
        <f t="shared" si="1"/>
        <v>0</v>
      </c>
      <c r="L63" s="5" t="s">
        <v>0</v>
      </c>
      <c r="M63" s="4">
        <f>MAX(M1_leaching!F20:G20)</f>
        <v>0</v>
      </c>
      <c r="N63" s="2">
        <f t="shared" si="5"/>
        <v>0</v>
      </c>
      <c r="O63" s="2">
        <f t="shared" si="6"/>
        <v>0</v>
      </c>
      <c r="P63" s="2">
        <f t="shared" si="14"/>
        <v>0</v>
      </c>
      <c r="Q63" s="2">
        <f t="shared" si="8"/>
        <v>0</v>
      </c>
      <c r="R63" s="2">
        <f t="shared" si="9"/>
        <v>0</v>
      </c>
      <c r="S63" s="3">
        <v>170</v>
      </c>
      <c r="T63" s="2">
        <f t="shared" si="2"/>
        <v>0</v>
      </c>
      <c r="U63" s="2">
        <f t="shared" si="3"/>
        <v>0</v>
      </c>
    </row>
    <row r="64" spans="1:21" ht="17" thickTop="1" thickBot="1" x14ac:dyDescent="0.25">
      <c r="A64" s="90" t="s">
        <v>31</v>
      </c>
      <c r="B64" s="90"/>
      <c r="C64" s="90"/>
      <c r="D64" s="90"/>
      <c r="E64" s="90"/>
      <c r="F64" s="90"/>
      <c r="G64" s="90"/>
      <c r="H64" s="90"/>
      <c r="I64" s="90"/>
      <c r="J64" s="90"/>
      <c r="L64" s="90" t="s">
        <v>31</v>
      </c>
      <c r="M64" s="90"/>
      <c r="N64" s="90"/>
      <c r="O64" s="90"/>
      <c r="P64" s="90"/>
      <c r="Q64" s="90"/>
      <c r="R64" s="90"/>
      <c r="S64" s="90"/>
      <c r="T64" s="90"/>
      <c r="U64" s="90"/>
    </row>
    <row r="65" spans="1:21" ht="16" thickTop="1" x14ac:dyDescent="0.2">
      <c r="A65" s="93" t="s">
        <v>46</v>
      </c>
      <c r="B65" s="94"/>
      <c r="C65" s="94"/>
      <c r="D65" s="94"/>
      <c r="E65" s="94"/>
      <c r="F65" s="94"/>
      <c r="G65" s="94"/>
      <c r="H65" s="94"/>
      <c r="I65" s="94"/>
      <c r="J65" s="94"/>
      <c r="L65" s="93" t="s">
        <v>142</v>
      </c>
      <c r="M65" s="94"/>
      <c r="N65" s="94"/>
      <c r="O65" s="94"/>
      <c r="P65" s="94"/>
      <c r="Q65" s="94"/>
      <c r="R65" s="94"/>
      <c r="S65" s="94"/>
      <c r="T65" s="94"/>
      <c r="U65" s="94"/>
    </row>
    <row r="66" spans="1:21" x14ac:dyDescent="0.2">
      <c r="A66" s="8" t="s">
        <v>30</v>
      </c>
      <c r="B66" s="8" t="s">
        <v>29</v>
      </c>
      <c r="C66" s="8" t="s">
        <v>175</v>
      </c>
      <c r="D66" s="8" t="s">
        <v>44</v>
      </c>
      <c r="E66" s="8" t="s">
        <v>43</v>
      </c>
      <c r="F66" s="8" t="s">
        <v>42</v>
      </c>
      <c r="G66" s="8" t="s">
        <v>41</v>
      </c>
      <c r="H66" s="11" t="s">
        <v>28</v>
      </c>
      <c r="I66" s="9" t="s">
        <v>27</v>
      </c>
      <c r="J66" s="8" t="s">
        <v>27</v>
      </c>
      <c r="L66" s="8" t="s">
        <v>30</v>
      </c>
      <c r="M66" s="8" t="s">
        <v>29</v>
      </c>
      <c r="N66" s="8" t="s">
        <v>175</v>
      </c>
      <c r="O66" s="8" t="s">
        <v>44</v>
      </c>
      <c r="P66" s="8" t="s">
        <v>43</v>
      </c>
      <c r="Q66" s="8" t="s">
        <v>42</v>
      </c>
      <c r="R66" s="8" t="s">
        <v>41</v>
      </c>
      <c r="S66" s="11" t="s">
        <v>28</v>
      </c>
      <c r="T66" s="9" t="s">
        <v>27</v>
      </c>
      <c r="U66" s="8" t="s">
        <v>27</v>
      </c>
    </row>
    <row r="67" spans="1:21" x14ac:dyDescent="0.2">
      <c r="A67" s="8"/>
      <c r="B67" s="8" t="s">
        <v>26</v>
      </c>
      <c r="C67" s="8" t="s">
        <v>40</v>
      </c>
      <c r="D67" s="8" t="s">
        <v>39</v>
      </c>
      <c r="E67" s="8" t="s">
        <v>39</v>
      </c>
      <c r="F67" s="8" t="s">
        <v>38</v>
      </c>
      <c r="G67" s="8" t="s">
        <v>38</v>
      </c>
      <c r="H67" s="10" t="s">
        <v>26</v>
      </c>
      <c r="I67" s="9" t="s">
        <v>25</v>
      </c>
      <c r="J67" s="8" t="s">
        <v>24</v>
      </c>
      <c r="L67" s="8"/>
      <c r="M67" s="8" t="s">
        <v>26</v>
      </c>
      <c r="N67" s="8" t="s">
        <v>40</v>
      </c>
      <c r="O67" s="8" t="s">
        <v>39</v>
      </c>
      <c r="P67" s="8" t="s">
        <v>39</v>
      </c>
      <c r="Q67" s="8" t="s">
        <v>38</v>
      </c>
      <c r="R67" s="8" t="s">
        <v>38</v>
      </c>
      <c r="S67" s="10" t="s">
        <v>26</v>
      </c>
      <c r="T67" s="9" t="s">
        <v>25</v>
      </c>
      <c r="U67" s="8" t="s">
        <v>24</v>
      </c>
    </row>
    <row r="68" spans="1:21" x14ac:dyDescent="0.2">
      <c r="A68" s="5" t="s">
        <v>23</v>
      </c>
      <c r="B68" s="4">
        <f>MAX(M1_leaching!F3:G3)</f>
        <v>0</v>
      </c>
      <c r="C68" s="2">
        <f>2*B68*$B$39/1000</f>
        <v>0</v>
      </c>
      <c r="D68" s="2">
        <f>C68*$B$35/$B$34</f>
        <v>0</v>
      </c>
      <c r="E68" s="2">
        <f>C68*$B$36/$B$34</f>
        <v>0</v>
      </c>
      <c r="F68" s="2">
        <f>D68/$E$16</f>
        <v>0</v>
      </c>
      <c r="G68" s="2">
        <f>E68/$E$17</f>
        <v>0</v>
      </c>
      <c r="H68" s="7">
        <v>5.7000000000000002E-2</v>
      </c>
      <c r="I68" s="2">
        <f>F68/H68</f>
        <v>0</v>
      </c>
      <c r="J68" s="2">
        <f>G68/H68</f>
        <v>0</v>
      </c>
      <c r="L68" s="5" t="s">
        <v>23</v>
      </c>
      <c r="M68" s="4">
        <f>MAX(M1_leaching!F3:G3)</f>
        <v>0</v>
      </c>
      <c r="N68" s="2">
        <f>2*M68*$B$39/1000</f>
        <v>0</v>
      </c>
      <c r="O68" s="2">
        <f>N68*$B$35/$B$34</f>
        <v>0</v>
      </c>
      <c r="P68" s="2">
        <f>N68*$B$36/$B$34</f>
        <v>0</v>
      </c>
      <c r="Q68" s="2">
        <f>O68/($E$16*$B$30)</f>
        <v>0</v>
      </c>
      <c r="R68" s="2">
        <f>P68/($E$17*$E$30)</f>
        <v>0</v>
      </c>
      <c r="S68" s="7">
        <v>5.7000000000000002E-2</v>
      </c>
      <c r="T68" s="2">
        <f>Q68/S68</f>
        <v>0</v>
      </c>
      <c r="U68" s="2">
        <f>R68/S68</f>
        <v>0</v>
      </c>
    </row>
    <row r="69" spans="1:21" x14ac:dyDescent="0.2">
      <c r="A69" s="5" t="s">
        <v>22</v>
      </c>
      <c r="B69" s="4">
        <f>MAX(M1_leaching!F4:G4)</f>
        <v>17.399999999999999</v>
      </c>
      <c r="C69" s="2">
        <f t="shared" ref="C69:C85" si="15">2*B69*$B$39/1000</f>
        <v>7.516799999999998E-3</v>
      </c>
      <c r="D69" s="2">
        <f t="shared" ref="D69:D85" si="16">C69*$B$35/$B$34</f>
        <v>2.5857791999999994E-2</v>
      </c>
      <c r="E69" s="2">
        <f t="shared" ref="E69:E85" si="17">C69*$B$36/$B$34</f>
        <v>7.7573375999999986E-2</v>
      </c>
      <c r="F69" s="2">
        <f t="shared" ref="F69:F85" si="18">D69/$E$16</f>
        <v>4.309631999999999E-3</v>
      </c>
      <c r="G69" s="2">
        <f t="shared" ref="G69:G85" si="19">E69/$E$17</f>
        <v>1.0343116799999998E-2</v>
      </c>
      <c r="H69" s="7">
        <v>114.7</v>
      </c>
      <c r="I69" s="2">
        <f t="shared" ref="I69:I85" si="20">F69/H69</f>
        <v>3.7573077593722748E-5</v>
      </c>
      <c r="J69" s="2">
        <f t="shared" ref="J69:J85" si="21">G69/H69</f>
        <v>9.0175386224934585E-5</v>
      </c>
      <c r="L69" s="5" t="s">
        <v>22</v>
      </c>
      <c r="M69" s="4">
        <f>MAX(M1_leaching!F4:G4)</f>
        <v>17.399999999999999</v>
      </c>
      <c r="N69" s="2">
        <f t="shared" ref="N69:N84" si="22">2*M69*$B$39/1000</f>
        <v>7.516799999999998E-3</v>
      </c>
      <c r="O69" s="2">
        <f t="shared" ref="O69:O85" si="23">N69*$B$35/$B$34</f>
        <v>2.5857791999999994E-2</v>
      </c>
      <c r="P69" s="2">
        <f t="shared" ref="P69:P85" si="24">N69*$B$36/$B$34</f>
        <v>7.7573375999999986E-2</v>
      </c>
      <c r="Q69" s="2">
        <f t="shared" ref="Q69:Q85" si="25">O69/($E$16*$B$30)</f>
        <v>6.6506666666666638E-7</v>
      </c>
      <c r="R69" s="2">
        <f t="shared" ref="R69:R85" si="26">P69/($E$17*$E$30)</f>
        <v>1.5961599999999992E-6</v>
      </c>
      <c r="S69" s="7">
        <v>114.7</v>
      </c>
      <c r="T69" s="2">
        <f t="shared" ref="T69:T85" si="27">Q69/S69</f>
        <v>5.7983144434757314E-9</v>
      </c>
      <c r="U69" s="2">
        <f t="shared" ref="U69:U85" si="28">R69/S69</f>
        <v>1.3915954664341753E-8</v>
      </c>
    </row>
    <row r="70" spans="1:21" x14ac:dyDescent="0.2">
      <c r="A70" s="5" t="s">
        <v>20</v>
      </c>
      <c r="B70" s="4">
        <f>MAX(M1_leaching!F5:G5)</f>
        <v>143</v>
      </c>
      <c r="C70" s="2">
        <f t="shared" si="15"/>
        <v>6.1775999999999991E-2</v>
      </c>
      <c r="D70" s="2">
        <f t="shared" si="16"/>
        <v>0.21250943999999999</v>
      </c>
      <c r="E70" s="2">
        <f t="shared" si="17"/>
        <v>0.63752831999999993</v>
      </c>
      <c r="F70" s="2">
        <f t="shared" si="18"/>
        <v>3.5418239999999997E-2</v>
      </c>
      <c r="G70" s="2">
        <f t="shared" si="19"/>
        <v>8.5003775999999989E-2</v>
      </c>
      <c r="H70" s="6">
        <v>2900</v>
      </c>
      <c r="I70" s="2">
        <f t="shared" si="20"/>
        <v>1.2213186206896551E-5</v>
      </c>
      <c r="J70" s="2">
        <f t="shared" si="21"/>
        <v>2.9311646896551721E-5</v>
      </c>
      <c r="L70" s="5" t="s">
        <v>20</v>
      </c>
      <c r="M70" s="4">
        <f>MAX(M1_leaching!F5:G5)</f>
        <v>143</v>
      </c>
      <c r="N70" s="2">
        <f t="shared" si="22"/>
        <v>6.1775999999999991E-2</v>
      </c>
      <c r="O70" s="2">
        <f t="shared" si="23"/>
        <v>0.21250943999999999</v>
      </c>
      <c r="P70" s="2">
        <f t="shared" si="24"/>
        <v>0.63752831999999993</v>
      </c>
      <c r="Q70" s="2">
        <f t="shared" si="25"/>
        <v>5.4657777777777766E-6</v>
      </c>
      <c r="R70" s="2">
        <f t="shared" si="26"/>
        <v>1.3117866666666662E-5</v>
      </c>
      <c r="S70" s="6">
        <v>2900</v>
      </c>
      <c r="T70" s="2">
        <f t="shared" si="27"/>
        <v>1.8847509578544058E-9</v>
      </c>
      <c r="U70" s="2">
        <f t="shared" si="28"/>
        <v>4.5234022988505732E-9</v>
      </c>
    </row>
    <row r="71" spans="1:21" x14ac:dyDescent="0.2">
      <c r="A71" s="5" t="s">
        <v>18</v>
      </c>
      <c r="B71" s="4">
        <f>MAX(M1_leaching!F6:G6)</f>
        <v>2.64</v>
      </c>
      <c r="C71" s="2">
        <f t="shared" si="15"/>
        <v>1.1404799999999999E-3</v>
      </c>
      <c r="D71" s="2">
        <f t="shared" si="16"/>
        <v>3.9232512000000001E-3</v>
      </c>
      <c r="E71" s="2">
        <f t="shared" si="17"/>
        <v>1.17697536E-2</v>
      </c>
      <c r="F71" s="2">
        <f t="shared" si="18"/>
        <v>6.5387520000000001E-4</v>
      </c>
      <c r="G71" s="2">
        <f t="shared" si="19"/>
        <v>1.5693004800000001E-3</v>
      </c>
      <c r="H71" s="3">
        <v>1.06</v>
      </c>
      <c r="I71" s="2">
        <f t="shared" si="20"/>
        <v>6.1686339622641511E-4</v>
      </c>
      <c r="J71" s="2">
        <f t="shared" si="21"/>
        <v>1.4804721509433963E-3</v>
      </c>
      <c r="L71" s="5" t="s">
        <v>18</v>
      </c>
      <c r="M71" s="4">
        <f>MAX(M1_leaching!F6:G6)</f>
        <v>2.64</v>
      </c>
      <c r="N71" s="2">
        <f t="shared" si="22"/>
        <v>1.1404799999999999E-3</v>
      </c>
      <c r="O71" s="2">
        <f t="shared" si="23"/>
        <v>3.9232512000000001E-3</v>
      </c>
      <c r="P71" s="2">
        <f t="shared" si="24"/>
        <v>1.17697536E-2</v>
      </c>
      <c r="Q71" s="2">
        <f t="shared" si="25"/>
        <v>1.0090666666666665E-7</v>
      </c>
      <c r="R71" s="2">
        <f t="shared" si="26"/>
        <v>2.4217599999999996E-7</v>
      </c>
      <c r="S71" s="3">
        <v>1.06</v>
      </c>
      <c r="T71" s="2">
        <f t="shared" si="27"/>
        <v>9.5194968553459099E-8</v>
      </c>
      <c r="U71" s="2">
        <f t="shared" si="28"/>
        <v>2.2846792452830183E-7</v>
      </c>
    </row>
    <row r="72" spans="1:21" x14ac:dyDescent="0.2">
      <c r="A72" s="5" t="s">
        <v>17</v>
      </c>
      <c r="B72" s="4">
        <f>MAX(M1_leaching!F7:G7)</f>
        <v>65.099999999999994</v>
      </c>
      <c r="C72" s="2">
        <f t="shared" si="15"/>
        <v>2.8123199999999994E-2</v>
      </c>
      <c r="D72" s="2">
        <f t="shared" si="16"/>
        <v>9.6743807999999987E-2</v>
      </c>
      <c r="E72" s="2">
        <f t="shared" si="17"/>
        <v>0.29023142399999996</v>
      </c>
      <c r="F72" s="2">
        <f t="shared" si="18"/>
        <v>1.6123967999999999E-2</v>
      </c>
      <c r="G72" s="2">
        <f t="shared" si="19"/>
        <v>3.8697523199999993E-2</v>
      </c>
      <c r="H72" s="3">
        <v>6.3</v>
      </c>
      <c r="I72" s="2">
        <f t="shared" si="20"/>
        <v>2.5593600000000001E-3</v>
      </c>
      <c r="J72" s="2">
        <f t="shared" si="21"/>
        <v>6.1424639999999994E-3</v>
      </c>
      <c r="L72" s="5" t="s">
        <v>17</v>
      </c>
      <c r="M72" s="4">
        <f>MAX(M1_leaching!F7:G7)</f>
        <v>65.099999999999994</v>
      </c>
      <c r="N72" s="2">
        <f t="shared" si="22"/>
        <v>2.8123199999999994E-2</v>
      </c>
      <c r="O72" s="2">
        <f t="shared" si="23"/>
        <v>9.6743807999999987E-2</v>
      </c>
      <c r="P72" s="2">
        <f t="shared" si="24"/>
        <v>0.29023142399999996</v>
      </c>
      <c r="Q72" s="2">
        <f t="shared" si="25"/>
        <v>2.4882666666666657E-6</v>
      </c>
      <c r="R72" s="2">
        <f t="shared" si="26"/>
        <v>5.971839999999997E-6</v>
      </c>
      <c r="S72" s="3">
        <v>6.3</v>
      </c>
      <c r="T72" s="2">
        <f t="shared" si="27"/>
        <v>3.9496296296296284E-7</v>
      </c>
      <c r="U72" s="2">
        <f t="shared" si="28"/>
        <v>9.4791111111111063E-7</v>
      </c>
    </row>
    <row r="73" spans="1:21" x14ac:dyDescent="0.2">
      <c r="A73" s="5" t="s">
        <v>16</v>
      </c>
      <c r="B73" s="4">
        <f>MAX(M1_leaching!F8:G8)</f>
        <v>0</v>
      </c>
      <c r="C73" s="2">
        <f t="shared" si="15"/>
        <v>0</v>
      </c>
      <c r="D73" s="2">
        <f t="shared" si="16"/>
        <v>0</v>
      </c>
      <c r="E73" s="2">
        <f t="shared" si="17"/>
        <v>0</v>
      </c>
      <c r="F73" s="2">
        <f t="shared" si="18"/>
        <v>0</v>
      </c>
      <c r="G73" s="2">
        <f t="shared" si="19"/>
        <v>0</v>
      </c>
      <c r="H73" s="3">
        <v>1650</v>
      </c>
      <c r="I73" s="2">
        <f t="shared" si="20"/>
        <v>0</v>
      </c>
      <c r="J73" s="2">
        <f t="shared" si="21"/>
        <v>0</v>
      </c>
      <c r="L73" s="5" t="s">
        <v>16</v>
      </c>
      <c r="M73" s="4">
        <f>MAX(M1_leaching!F8:G8)</f>
        <v>0</v>
      </c>
      <c r="N73" s="2">
        <f t="shared" si="22"/>
        <v>0</v>
      </c>
      <c r="O73" s="2">
        <f t="shared" si="23"/>
        <v>0</v>
      </c>
      <c r="P73" s="2">
        <f t="shared" si="24"/>
        <v>0</v>
      </c>
      <c r="Q73" s="2">
        <f t="shared" si="25"/>
        <v>0</v>
      </c>
      <c r="R73" s="2">
        <f t="shared" si="26"/>
        <v>0</v>
      </c>
      <c r="S73" s="3">
        <v>1650</v>
      </c>
      <c r="T73" s="2">
        <f t="shared" si="27"/>
        <v>0</v>
      </c>
      <c r="U73" s="2">
        <f t="shared" si="28"/>
        <v>0</v>
      </c>
    </row>
    <row r="74" spans="1:21" x14ac:dyDescent="0.2">
      <c r="A74" s="5" t="s">
        <v>14</v>
      </c>
      <c r="B74" s="4">
        <f>MAX(M1_leaching!F9:G9)</f>
        <v>373</v>
      </c>
      <c r="C74" s="2">
        <f t="shared" si="15"/>
        <v>0.16113599999999997</v>
      </c>
      <c r="D74" s="2">
        <f t="shared" si="16"/>
        <v>0.55430784</v>
      </c>
      <c r="E74" s="2">
        <f t="shared" si="17"/>
        <v>1.6629235199999999</v>
      </c>
      <c r="F74" s="2">
        <f t="shared" si="18"/>
        <v>9.2384640000000004E-2</v>
      </c>
      <c r="G74" s="2">
        <f t="shared" si="19"/>
        <v>0.22172313599999999</v>
      </c>
      <c r="H74" s="3">
        <v>34</v>
      </c>
      <c r="I74" s="2">
        <f t="shared" si="20"/>
        <v>2.7171952941176473E-3</v>
      </c>
      <c r="J74" s="2">
        <f t="shared" si="21"/>
        <v>6.5212687058823528E-3</v>
      </c>
      <c r="L74" s="5" t="s">
        <v>14</v>
      </c>
      <c r="M74" s="4">
        <f>MAX(M1_leaching!F9:G9)</f>
        <v>373</v>
      </c>
      <c r="N74" s="2">
        <f t="shared" si="22"/>
        <v>0.16113599999999997</v>
      </c>
      <c r="O74" s="2">
        <f t="shared" si="23"/>
        <v>0.55430784</v>
      </c>
      <c r="P74" s="2">
        <f t="shared" si="24"/>
        <v>1.6629235199999999</v>
      </c>
      <c r="Q74" s="2">
        <f t="shared" si="25"/>
        <v>1.4256888888888887E-5</v>
      </c>
      <c r="R74" s="2">
        <f t="shared" si="26"/>
        <v>3.421653333333332E-5</v>
      </c>
      <c r="S74" s="3">
        <v>34</v>
      </c>
      <c r="T74" s="2">
        <f t="shared" si="27"/>
        <v>4.1932026143790843E-7</v>
      </c>
      <c r="U74" s="2">
        <f t="shared" si="28"/>
        <v>1.0063686274509801E-6</v>
      </c>
    </row>
    <row r="75" spans="1:21" x14ac:dyDescent="0.2">
      <c r="A75" s="5" t="s">
        <v>13</v>
      </c>
      <c r="B75" s="4">
        <f>MAX(M1_leaching!F10:G10)</f>
        <v>0</v>
      </c>
      <c r="C75" s="2">
        <f t="shared" si="15"/>
        <v>0</v>
      </c>
      <c r="D75" s="2">
        <f t="shared" si="16"/>
        <v>0</v>
      </c>
      <c r="E75" s="2">
        <f t="shared" si="17"/>
        <v>0</v>
      </c>
      <c r="F75" s="2">
        <f t="shared" si="18"/>
        <v>0</v>
      </c>
      <c r="G75" s="2">
        <f t="shared" si="19"/>
        <v>0</v>
      </c>
      <c r="H75" s="3">
        <v>11900</v>
      </c>
      <c r="I75" s="2">
        <f t="shared" si="20"/>
        <v>0</v>
      </c>
      <c r="J75" s="2">
        <f t="shared" si="21"/>
        <v>0</v>
      </c>
      <c r="L75" s="5" t="s">
        <v>13</v>
      </c>
      <c r="M75" s="4">
        <f>MAX(M1_leaching!F10:G10)</f>
        <v>0</v>
      </c>
      <c r="N75" s="2">
        <f t="shared" si="22"/>
        <v>0</v>
      </c>
      <c r="O75" s="2">
        <f t="shared" si="23"/>
        <v>0</v>
      </c>
      <c r="P75" s="2">
        <f t="shared" si="24"/>
        <v>0</v>
      </c>
      <c r="Q75" s="2">
        <f t="shared" si="25"/>
        <v>0</v>
      </c>
      <c r="R75" s="2">
        <f t="shared" si="26"/>
        <v>0</v>
      </c>
      <c r="S75" s="3">
        <v>11900</v>
      </c>
      <c r="T75" s="2">
        <f t="shared" si="27"/>
        <v>0</v>
      </c>
      <c r="U75" s="2">
        <f t="shared" si="28"/>
        <v>0</v>
      </c>
    </row>
    <row r="76" spans="1:21" x14ac:dyDescent="0.2">
      <c r="A76" s="5" t="s">
        <v>11</v>
      </c>
      <c r="B76" s="4">
        <f>MAX(M1_leaching!F11:G11)</f>
        <v>0</v>
      </c>
      <c r="C76" s="2">
        <f t="shared" si="15"/>
        <v>0</v>
      </c>
      <c r="D76" s="2">
        <f t="shared" si="16"/>
        <v>0</v>
      </c>
      <c r="E76" s="2">
        <f t="shared" si="17"/>
        <v>0</v>
      </c>
      <c r="F76" s="2">
        <f t="shared" si="18"/>
        <v>0</v>
      </c>
      <c r="G76" s="2">
        <f t="shared" si="19"/>
        <v>0</v>
      </c>
      <c r="H76" s="3">
        <v>37</v>
      </c>
      <c r="I76" s="2">
        <f t="shared" si="20"/>
        <v>0</v>
      </c>
      <c r="J76" s="2">
        <f t="shared" si="21"/>
        <v>0</v>
      </c>
      <c r="L76" s="5" t="s">
        <v>11</v>
      </c>
      <c r="M76" s="4">
        <f>MAX(M1_leaching!F11:G11)</f>
        <v>0</v>
      </c>
      <c r="N76" s="2">
        <f t="shared" si="22"/>
        <v>0</v>
      </c>
      <c r="O76" s="2">
        <f t="shared" si="23"/>
        <v>0</v>
      </c>
      <c r="P76" s="2">
        <f t="shared" si="24"/>
        <v>0</v>
      </c>
      <c r="Q76" s="2">
        <f t="shared" si="25"/>
        <v>0</v>
      </c>
      <c r="R76" s="2">
        <f t="shared" si="26"/>
        <v>0</v>
      </c>
      <c r="S76" s="3">
        <v>37</v>
      </c>
      <c r="T76" s="2">
        <f t="shared" si="27"/>
        <v>0</v>
      </c>
      <c r="U76" s="2">
        <f t="shared" si="28"/>
        <v>0</v>
      </c>
    </row>
    <row r="77" spans="1:21" x14ac:dyDescent="0.2">
      <c r="A77" s="5" t="s">
        <v>10</v>
      </c>
      <c r="B77" s="4">
        <f>MAX(M1_leaching!F12:G12)</f>
        <v>2.4</v>
      </c>
      <c r="C77" s="2">
        <f t="shared" si="15"/>
        <v>1.0367999999999996E-3</v>
      </c>
      <c r="D77" s="2">
        <f t="shared" si="16"/>
        <v>3.5665919999999991E-3</v>
      </c>
      <c r="E77" s="2">
        <f t="shared" si="17"/>
        <v>1.0699775999999998E-2</v>
      </c>
      <c r="F77" s="2">
        <f t="shared" si="18"/>
        <v>5.9443199999999988E-4</v>
      </c>
      <c r="G77" s="2">
        <f t="shared" si="19"/>
        <v>1.4266367999999996E-3</v>
      </c>
      <c r="H77" s="3">
        <v>4.0999999999999996</v>
      </c>
      <c r="I77" s="2">
        <f t="shared" si="20"/>
        <v>1.4498341463414633E-4</v>
      </c>
      <c r="J77" s="2">
        <f t="shared" si="21"/>
        <v>3.4796019512195117E-4</v>
      </c>
      <c r="L77" s="5" t="s">
        <v>10</v>
      </c>
      <c r="M77" s="4">
        <f>MAX(M1_leaching!F12:G12)</f>
        <v>2.4</v>
      </c>
      <c r="N77" s="2">
        <f t="shared" si="22"/>
        <v>1.0367999999999996E-3</v>
      </c>
      <c r="O77" s="2">
        <f t="shared" si="23"/>
        <v>3.5665919999999991E-3</v>
      </c>
      <c r="P77" s="2">
        <f t="shared" si="24"/>
        <v>1.0699775999999998E-2</v>
      </c>
      <c r="Q77" s="2">
        <f t="shared" si="25"/>
        <v>9.1733333333333294E-8</v>
      </c>
      <c r="R77" s="2">
        <f t="shared" si="26"/>
        <v>2.2015999999999988E-7</v>
      </c>
      <c r="S77" s="3">
        <v>4.0999999999999996</v>
      </c>
      <c r="T77" s="2">
        <f t="shared" si="27"/>
        <v>2.2373983739837391E-8</v>
      </c>
      <c r="U77" s="2">
        <f t="shared" si="28"/>
        <v>5.369756097560973E-8</v>
      </c>
    </row>
    <row r="78" spans="1:21" x14ac:dyDescent="0.2">
      <c r="A78" s="5" t="s">
        <v>9</v>
      </c>
      <c r="B78" s="4">
        <f>MAX(M1_leaching!F13:G13)</f>
        <v>884</v>
      </c>
      <c r="C78" s="2">
        <f t="shared" si="15"/>
        <v>0.38188799999999989</v>
      </c>
      <c r="D78" s="2">
        <f t="shared" si="16"/>
        <v>1.3136947199999998</v>
      </c>
      <c r="E78" s="2">
        <f t="shared" si="17"/>
        <v>3.9410841599999991</v>
      </c>
      <c r="F78" s="2">
        <f t="shared" si="18"/>
        <v>0.21894911999999997</v>
      </c>
      <c r="G78" s="2">
        <f t="shared" si="19"/>
        <v>0.52547788799999984</v>
      </c>
      <c r="H78" s="3">
        <v>14.4</v>
      </c>
      <c r="I78" s="2">
        <f t="shared" si="20"/>
        <v>1.5204799999999997E-2</v>
      </c>
      <c r="J78" s="2">
        <f t="shared" si="21"/>
        <v>3.6491519999999986E-2</v>
      </c>
      <c r="L78" s="5" t="s">
        <v>9</v>
      </c>
      <c r="M78" s="4">
        <f>MAX(M1_leaching!F13:G13)</f>
        <v>884</v>
      </c>
      <c r="N78" s="2">
        <f t="shared" si="22"/>
        <v>0.38188799999999989</v>
      </c>
      <c r="O78" s="2">
        <f t="shared" si="23"/>
        <v>1.3136947199999998</v>
      </c>
      <c r="P78" s="2">
        <f t="shared" si="24"/>
        <v>3.9410841599999991</v>
      </c>
      <c r="Q78" s="2">
        <f t="shared" si="25"/>
        <v>3.3788444444444432E-5</v>
      </c>
      <c r="R78" s="2">
        <f t="shared" si="26"/>
        <v>8.1092266666666629E-5</v>
      </c>
      <c r="S78" s="3">
        <v>14.4</v>
      </c>
      <c r="T78" s="2">
        <f t="shared" si="27"/>
        <v>2.346419753086419E-6</v>
      </c>
      <c r="U78" s="2">
        <f t="shared" si="28"/>
        <v>5.6314074074074045E-6</v>
      </c>
    </row>
    <row r="79" spans="1:21" x14ac:dyDescent="0.2">
      <c r="A79" s="5" t="s">
        <v>6</v>
      </c>
      <c r="B79" s="4">
        <f>MAX(M1_leaching!F14:G14)</f>
        <v>0.08</v>
      </c>
      <c r="C79" s="2">
        <f t="shared" si="15"/>
        <v>3.4559999999999994E-5</v>
      </c>
      <c r="D79" s="2">
        <f t="shared" si="16"/>
        <v>1.1888639999999999E-4</v>
      </c>
      <c r="E79" s="2">
        <f t="shared" si="17"/>
        <v>3.5665919999999996E-4</v>
      </c>
      <c r="F79" s="2">
        <f t="shared" si="18"/>
        <v>1.9814399999999998E-5</v>
      </c>
      <c r="G79" s="2">
        <f t="shared" si="19"/>
        <v>4.7554559999999998E-5</v>
      </c>
      <c r="H79" s="3">
        <v>0.19</v>
      </c>
      <c r="I79" s="2">
        <f t="shared" si="20"/>
        <v>1.0428631578947367E-4</v>
      </c>
      <c r="J79" s="2">
        <f t="shared" si="21"/>
        <v>2.5028715789473681E-4</v>
      </c>
      <c r="L79" s="5" t="s">
        <v>6</v>
      </c>
      <c r="M79" s="4">
        <f>MAX(M1_leaching!F14:G14)</f>
        <v>0.08</v>
      </c>
      <c r="N79" s="2">
        <f t="shared" si="22"/>
        <v>3.4559999999999994E-5</v>
      </c>
      <c r="O79" s="2">
        <f t="shared" si="23"/>
        <v>1.1888639999999999E-4</v>
      </c>
      <c r="P79" s="2">
        <f t="shared" si="24"/>
        <v>3.5665919999999996E-4</v>
      </c>
      <c r="Q79" s="2">
        <f t="shared" si="25"/>
        <v>3.057777777777777E-9</v>
      </c>
      <c r="R79" s="2">
        <f t="shared" si="26"/>
        <v>7.3386666666666637E-9</v>
      </c>
      <c r="S79" s="3">
        <v>0.19</v>
      </c>
      <c r="T79" s="2">
        <f t="shared" si="27"/>
        <v>1.6093567251461982E-8</v>
      </c>
      <c r="U79" s="2">
        <f t="shared" si="28"/>
        <v>3.8624561403508754E-8</v>
      </c>
    </row>
    <row r="80" spans="1:21" x14ac:dyDescent="0.2">
      <c r="A80" s="5" t="s">
        <v>5</v>
      </c>
      <c r="B80" s="4">
        <f>MAX(M1_leaching!F15:G15)</f>
        <v>1.06</v>
      </c>
      <c r="C80" s="2">
        <f t="shared" si="15"/>
        <v>4.5791999999999995E-4</v>
      </c>
      <c r="D80" s="2">
        <f t="shared" si="16"/>
        <v>1.5752448E-3</v>
      </c>
      <c r="E80" s="2">
        <f t="shared" si="17"/>
        <v>4.7257343999999998E-3</v>
      </c>
      <c r="F80" s="2">
        <f t="shared" si="18"/>
        <v>2.6254080000000002E-4</v>
      </c>
      <c r="G80" s="2">
        <f t="shared" si="19"/>
        <v>6.3009791999999994E-4</v>
      </c>
      <c r="H80" s="3">
        <v>6.5</v>
      </c>
      <c r="I80" s="2">
        <f t="shared" si="20"/>
        <v>4.0390892307692312E-5</v>
      </c>
      <c r="J80" s="2">
        <f t="shared" si="21"/>
        <v>9.6938141538461533E-5</v>
      </c>
      <c r="L80" s="5" t="s">
        <v>5</v>
      </c>
      <c r="M80" s="4">
        <f>MAX(M1_leaching!F15:G15)</f>
        <v>1.06</v>
      </c>
      <c r="N80" s="2">
        <f t="shared" si="22"/>
        <v>4.5791999999999995E-4</v>
      </c>
      <c r="O80" s="2">
        <f t="shared" si="23"/>
        <v>1.5752448E-3</v>
      </c>
      <c r="P80" s="2">
        <f t="shared" si="24"/>
        <v>4.7257343999999998E-3</v>
      </c>
      <c r="Q80" s="2">
        <f t="shared" si="25"/>
        <v>4.0515555555555547E-8</v>
      </c>
      <c r="R80" s="2">
        <f t="shared" si="26"/>
        <v>9.7237333333333302E-8</v>
      </c>
      <c r="S80" s="3">
        <v>6.5</v>
      </c>
      <c r="T80" s="2">
        <f t="shared" si="27"/>
        <v>6.2331623931623918E-9</v>
      </c>
      <c r="U80" s="2">
        <f t="shared" si="28"/>
        <v>1.4959589743589738E-8</v>
      </c>
    </row>
    <row r="81" spans="1:21" x14ac:dyDescent="0.2">
      <c r="A81" s="5" t="s">
        <v>4</v>
      </c>
      <c r="B81" s="4">
        <f>MAX(M1_leaching!F16:G16)</f>
        <v>27.8</v>
      </c>
      <c r="C81" s="2">
        <f t="shared" si="15"/>
        <v>1.2009599999999999E-2</v>
      </c>
      <c r="D81" s="2">
        <f t="shared" si="16"/>
        <v>4.1313023999999997E-2</v>
      </c>
      <c r="E81" s="2">
        <f t="shared" si="17"/>
        <v>0.12393907199999998</v>
      </c>
      <c r="F81" s="2">
        <f t="shared" si="18"/>
        <v>6.8855039999999998E-3</v>
      </c>
      <c r="G81" s="2">
        <f t="shared" si="19"/>
        <v>1.6525209599999997E-2</v>
      </c>
      <c r="H81" s="3">
        <v>20</v>
      </c>
      <c r="I81" s="2">
        <f t="shared" si="20"/>
        <v>3.4427519999999997E-4</v>
      </c>
      <c r="J81" s="2">
        <f t="shared" si="21"/>
        <v>8.2626047999999981E-4</v>
      </c>
      <c r="L81" s="5" t="s">
        <v>4</v>
      </c>
      <c r="M81" s="4">
        <f>MAX(M1_leaching!F16:G16)</f>
        <v>27.8</v>
      </c>
      <c r="N81" s="2">
        <f t="shared" si="22"/>
        <v>1.2009599999999999E-2</v>
      </c>
      <c r="O81" s="2">
        <f t="shared" si="23"/>
        <v>4.1313023999999997E-2</v>
      </c>
      <c r="P81" s="2">
        <f t="shared" si="24"/>
        <v>0.12393907199999998</v>
      </c>
      <c r="Q81" s="2">
        <f t="shared" si="25"/>
        <v>1.0625777777777776E-6</v>
      </c>
      <c r="R81" s="2">
        <f t="shared" si="26"/>
        <v>2.5501866666666656E-6</v>
      </c>
      <c r="S81" s="3">
        <v>20</v>
      </c>
      <c r="T81" s="2">
        <f t="shared" si="27"/>
        <v>5.3128888888888878E-8</v>
      </c>
      <c r="U81" s="2">
        <f t="shared" si="28"/>
        <v>1.2750933333333327E-7</v>
      </c>
    </row>
    <row r="82" spans="1:21" x14ac:dyDescent="0.2">
      <c r="A82" s="5" t="s">
        <v>3</v>
      </c>
      <c r="B82" s="4">
        <f>MAX(M1_leaching!F17:G17)</f>
        <v>1.54</v>
      </c>
      <c r="C82" s="2">
        <f t="shared" si="15"/>
        <v>6.6527999999999986E-4</v>
      </c>
      <c r="D82" s="2">
        <f t="shared" si="16"/>
        <v>2.2885631999999996E-3</v>
      </c>
      <c r="E82" s="2">
        <f t="shared" si="17"/>
        <v>6.8656895999999988E-3</v>
      </c>
      <c r="F82" s="2">
        <f t="shared" si="18"/>
        <v>3.8142719999999995E-4</v>
      </c>
      <c r="G82" s="2">
        <f t="shared" si="19"/>
        <v>9.1542527999999984E-4</v>
      </c>
      <c r="H82" s="3">
        <v>2.4</v>
      </c>
      <c r="I82" s="2">
        <f t="shared" si="20"/>
        <v>1.5892799999999999E-4</v>
      </c>
      <c r="J82" s="2">
        <f t="shared" si="21"/>
        <v>3.8142719999999995E-4</v>
      </c>
      <c r="L82" s="5" t="s">
        <v>3</v>
      </c>
      <c r="M82" s="4">
        <f>MAX(M1_leaching!F17:G17)</f>
        <v>1.54</v>
      </c>
      <c r="N82" s="2">
        <f t="shared" si="22"/>
        <v>6.6527999999999986E-4</v>
      </c>
      <c r="O82" s="2">
        <f t="shared" si="23"/>
        <v>2.2885631999999996E-3</v>
      </c>
      <c r="P82" s="2">
        <f t="shared" si="24"/>
        <v>6.8656895999999988E-3</v>
      </c>
      <c r="Q82" s="2">
        <f t="shared" si="25"/>
        <v>5.8862222222222203E-8</v>
      </c>
      <c r="R82" s="2">
        <f t="shared" si="26"/>
        <v>1.4126933333333326E-7</v>
      </c>
      <c r="S82" s="3">
        <v>2.4</v>
      </c>
      <c r="T82" s="2">
        <f t="shared" si="27"/>
        <v>2.452592592592592E-8</v>
      </c>
      <c r="U82" s="2">
        <f t="shared" si="28"/>
        <v>5.886222222222219E-8</v>
      </c>
    </row>
    <row r="83" spans="1:21" x14ac:dyDescent="0.2">
      <c r="A83" s="5" t="s">
        <v>2</v>
      </c>
      <c r="B83" s="4">
        <f>MAX(M1_leaching!F18:G18)</f>
        <v>2.5499999999999998</v>
      </c>
      <c r="C83" s="2">
        <f t="shared" si="15"/>
        <v>1.1015999999999997E-3</v>
      </c>
      <c r="D83" s="2">
        <f t="shared" si="16"/>
        <v>3.7895039999999995E-3</v>
      </c>
      <c r="E83" s="2">
        <f t="shared" si="17"/>
        <v>1.1368511999999997E-2</v>
      </c>
      <c r="F83" s="2">
        <f t="shared" si="18"/>
        <v>6.3158399999999992E-4</v>
      </c>
      <c r="G83" s="2">
        <f t="shared" si="19"/>
        <v>1.5158015999999996E-3</v>
      </c>
      <c r="H83" s="3">
        <v>5.6</v>
      </c>
      <c r="I83" s="2">
        <f t="shared" si="20"/>
        <v>1.1278285714285713E-4</v>
      </c>
      <c r="J83" s="2">
        <f t="shared" si="21"/>
        <v>2.7067885714285707E-4</v>
      </c>
      <c r="L83" s="5" t="s">
        <v>2</v>
      </c>
      <c r="M83" s="4">
        <f>MAX(M1_leaching!F18:G18)</f>
        <v>2.5499999999999998</v>
      </c>
      <c r="N83" s="2">
        <f t="shared" si="22"/>
        <v>1.1015999999999997E-3</v>
      </c>
      <c r="O83" s="2">
        <f t="shared" si="23"/>
        <v>3.7895039999999995E-3</v>
      </c>
      <c r="P83" s="2">
        <f t="shared" si="24"/>
        <v>1.1368511999999997E-2</v>
      </c>
      <c r="Q83" s="2">
        <f t="shared" si="25"/>
        <v>9.7466666666666639E-8</v>
      </c>
      <c r="R83" s="2">
        <f t="shared" si="26"/>
        <v>2.3391999999999989E-7</v>
      </c>
      <c r="S83" s="3">
        <v>5.6</v>
      </c>
      <c r="T83" s="2">
        <f t="shared" si="27"/>
        <v>1.7404761904761901E-8</v>
      </c>
      <c r="U83" s="2">
        <f t="shared" si="28"/>
        <v>4.1771428571428551E-8</v>
      </c>
    </row>
    <row r="84" spans="1:21" x14ac:dyDescent="0.2">
      <c r="A84" s="5" t="s">
        <v>1</v>
      </c>
      <c r="B84" s="4">
        <f>MAX(M1_leaching!F19:G19)</f>
        <v>797</v>
      </c>
      <c r="C84" s="2">
        <f t="shared" si="15"/>
        <v>0.344304</v>
      </c>
      <c r="D84" s="2">
        <f t="shared" si="16"/>
        <v>1.18440576</v>
      </c>
      <c r="E84" s="2">
        <f t="shared" si="17"/>
        <v>3.5532172800000001</v>
      </c>
      <c r="F84" s="2">
        <f t="shared" si="18"/>
        <v>0.19740095999999999</v>
      </c>
      <c r="G84" s="2">
        <f t="shared" si="19"/>
        <v>0.47376230400000002</v>
      </c>
      <c r="H84" s="3">
        <v>28</v>
      </c>
      <c r="I84" s="2">
        <f t="shared" si="20"/>
        <v>7.0500342857142849E-3</v>
      </c>
      <c r="J84" s="2">
        <f t="shared" si="21"/>
        <v>1.6920082285714285E-2</v>
      </c>
      <c r="L84" s="5" t="s">
        <v>1</v>
      </c>
      <c r="M84" s="4">
        <f>MAX(M1_leaching!F19:G19)</f>
        <v>797</v>
      </c>
      <c r="N84" s="2">
        <f t="shared" si="22"/>
        <v>0.344304</v>
      </c>
      <c r="O84" s="2">
        <f t="shared" si="23"/>
        <v>1.18440576</v>
      </c>
      <c r="P84" s="2">
        <f t="shared" si="24"/>
        <v>3.5532172800000001</v>
      </c>
      <c r="Q84" s="2">
        <f t="shared" si="25"/>
        <v>3.0463111111111105E-5</v>
      </c>
      <c r="R84" s="2">
        <f t="shared" si="26"/>
        <v>7.3111466666666653E-5</v>
      </c>
      <c r="S84" s="3">
        <v>28</v>
      </c>
      <c r="T84" s="2">
        <f t="shared" si="27"/>
        <v>1.0879682539682537E-6</v>
      </c>
      <c r="U84" s="2">
        <f t="shared" si="28"/>
        <v>2.6111238095238091E-6</v>
      </c>
    </row>
    <row r="85" spans="1:21" x14ac:dyDescent="0.2">
      <c r="A85" s="5" t="s">
        <v>0</v>
      </c>
      <c r="B85" s="4">
        <f>MAX(M1_leaching!F20:G20)</f>
        <v>0</v>
      </c>
      <c r="C85" s="2">
        <f t="shared" si="15"/>
        <v>0</v>
      </c>
      <c r="D85" s="2">
        <f t="shared" si="16"/>
        <v>0</v>
      </c>
      <c r="E85" s="2">
        <f t="shared" si="17"/>
        <v>0</v>
      </c>
      <c r="F85" s="2">
        <f t="shared" si="18"/>
        <v>0</v>
      </c>
      <c r="G85" s="2">
        <f t="shared" si="19"/>
        <v>0</v>
      </c>
      <c r="H85" s="3">
        <v>170</v>
      </c>
      <c r="I85" s="2">
        <f t="shared" si="20"/>
        <v>0</v>
      </c>
      <c r="J85" s="2">
        <f t="shared" si="21"/>
        <v>0</v>
      </c>
      <c r="L85" s="5" t="s">
        <v>0</v>
      </c>
      <c r="M85" s="4">
        <f>MAX(M1_leaching!F20:G20)</f>
        <v>0</v>
      </c>
      <c r="N85" s="2">
        <f t="shared" ref="N85" si="29">2*M85*$B$39*24/1000</f>
        <v>0</v>
      </c>
      <c r="O85" s="2">
        <f t="shared" si="23"/>
        <v>0</v>
      </c>
      <c r="P85" s="2">
        <f t="shared" si="24"/>
        <v>0</v>
      </c>
      <c r="Q85" s="2">
        <f t="shared" si="25"/>
        <v>0</v>
      </c>
      <c r="R85" s="2">
        <f t="shared" si="26"/>
        <v>0</v>
      </c>
      <c r="S85" s="3">
        <v>170</v>
      </c>
      <c r="T85" s="2">
        <f t="shared" si="27"/>
        <v>0</v>
      </c>
      <c r="U85" s="2">
        <f t="shared" si="28"/>
        <v>0</v>
      </c>
    </row>
  </sheetData>
  <mergeCells count="14">
    <mergeCell ref="A1:F1"/>
    <mergeCell ref="A10:F10"/>
    <mergeCell ref="A21:F21"/>
    <mergeCell ref="A11:C11"/>
    <mergeCell ref="D11:F11"/>
    <mergeCell ref="L42:U42"/>
    <mergeCell ref="L43:U43"/>
    <mergeCell ref="L64:U64"/>
    <mergeCell ref="L65:U65"/>
    <mergeCell ref="A32:F32"/>
    <mergeCell ref="A42:J42"/>
    <mergeCell ref="A43:J43"/>
    <mergeCell ref="A64:J64"/>
    <mergeCell ref="A65:J65"/>
  </mergeCells>
  <conditionalFormatting sqref="I46:J63">
    <cfRule type="cellIs" dxfId="99" priority="14" operator="greaterThan">
      <formula>1</formula>
    </cfRule>
    <cfRule type="cellIs" dxfId="98" priority="13" operator="lessThan">
      <formula>1</formula>
    </cfRule>
  </conditionalFormatting>
  <conditionalFormatting sqref="I68:J85">
    <cfRule type="cellIs" dxfId="97" priority="9" operator="lessThan">
      <formula>1</formula>
    </cfRule>
    <cfRule type="cellIs" dxfId="96" priority="10" operator="greaterThan">
      <formula>1</formula>
    </cfRule>
  </conditionalFormatting>
  <conditionalFormatting sqref="T46:U63">
    <cfRule type="cellIs" dxfId="95" priority="6" operator="greaterThan">
      <formula>1</formula>
    </cfRule>
    <cfRule type="cellIs" dxfId="94" priority="5" operator="lessThan">
      <formula>1</formula>
    </cfRule>
  </conditionalFormatting>
  <conditionalFormatting sqref="T68:U85">
    <cfRule type="cellIs" dxfId="93" priority="2" operator="greaterThan">
      <formula>1</formula>
    </cfRule>
    <cfRule type="cellIs" dxfId="92" priority="1" operator="lessThan">
      <formula>1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BD9EA-85A0-46CD-9409-01C3A15B4A61}">
  <dimension ref="A1:AN160"/>
  <sheetViews>
    <sheetView zoomScale="106" workbookViewId="0">
      <selection activeCell="F3" sqref="F3:G20"/>
    </sheetView>
  </sheetViews>
  <sheetFormatPr baseColWidth="10" defaultColWidth="10" defaultRowHeight="14" x14ac:dyDescent="0.2"/>
  <cols>
    <col min="1" max="1" width="13.83203125" style="20" bestFit="1" customWidth="1"/>
    <col min="2" max="2" width="10" style="46"/>
    <col min="3" max="4" width="10.1640625" style="20" customWidth="1"/>
    <col min="5" max="5" width="12.5" style="20" customWidth="1"/>
    <col min="6" max="13" width="10.1640625" style="20" customWidth="1"/>
    <col min="14" max="14" width="11.6640625" style="46" customWidth="1"/>
    <col min="15" max="15" width="12.5" style="38" bestFit="1" customWidth="1"/>
    <col min="16" max="18" width="10.33203125" style="38" bestFit="1" customWidth="1"/>
    <col min="19" max="19" width="10.1640625" style="20" bestFit="1" customWidth="1"/>
    <col min="20" max="16384" width="10" style="20"/>
  </cols>
  <sheetData>
    <row r="1" spans="1:19" ht="35" customHeight="1" x14ac:dyDescent="0.2">
      <c r="B1" s="21" t="s">
        <v>99</v>
      </c>
      <c r="C1" s="100" t="s">
        <v>100</v>
      </c>
      <c r="D1" s="101"/>
      <c r="E1" s="22" t="s">
        <v>101</v>
      </c>
      <c r="F1" s="62" t="s">
        <v>143</v>
      </c>
      <c r="G1" s="62" t="s">
        <v>144</v>
      </c>
      <c r="H1" s="62" t="s">
        <v>145</v>
      </c>
      <c r="I1" s="62" t="s">
        <v>146</v>
      </c>
      <c r="J1" s="62" t="s">
        <v>147</v>
      </c>
      <c r="K1" s="62" t="s">
        <v>148</v>
      </c>
      <c r="L1" s="62" t="s">
        <v>149</v>
      </c>
      <c r="M1" s="62" t="s">
        <v>150</v>
      </c>
      <c r="N1" s="26" t="s">
        <v>104</v>
      </c>
      <c r="O1" s="27" t="s">
        <v>105</v>
      </c>
      <c r="P1" s="28" t="s">
        <v>106</v>
      </c>
      <c r="Q1" s="28" t="s">
        <v>107</v>
      </c>
      <c r="R1" s="28" t="s">
        <v>108</v>
      </c>
      <c r="S1" s="102" t="s">
        <v>109</v>
      </c>
    </row>
    <row r="2" spans="1:19" ht="16" x14ac:dyDescent="0.2">
      <c r="B2" s="29" t="s">
        <v>110</v>
      </c>
      <c r="C2" s="30" t="s">
        <v>111</v>
      </c>
      <c r="D2" s="30" t="s">
        <v>112</v>
      </c>
      <c r="E2" s="31" t="s">
        <v>113</v>
      </c>
      <c r="F2" s="31" t="s">
        <v>113</v>
      </c>
      <c r="G2" s="31" t="s">
        <v>113</v>
      </c>
      <c r="H2" s="31" t="s">
        <v>113</v>
      </c>
      <c r="I2" s="31" t="s">
        <v>113</v>
      </c>
      <c r="J2" s="31" t="s">
        <v>113</v>
      </c>
      <c r="K2" s="31" t="s">
        <v>113</v>
      </c>
      <c r="L2" s="31" t="s">
        <v>113</v>
      </c>
      <c r="M2" s="31" t="s">
        <v>113</v>
      </c>
      <c r="N2" s="32" t="s">
        <v>113</v>
      </c>
      <c r="O2" s="33" t="s">
        <v>27</v>
      </c>
      <c r="P2" s="34" t="s">
        <v>27</v>
      </c>
      <c r="Q2" s="34" t="s">
        <v>27</v>
      </c>
      <c r="R2" s="34" t="s">
        <v>27</v>
      </c>
      <c r="S2" s="103"/>
    </row>
    <row r="3" spans="1:19" ht="15" x14ac:dyDescent="0.2">
      <c r="A3" s="20">
        <v>1</v>
      </c>
      <c r="B3" s="35" t="s">
        <v>114</v>
      </c>
      <c r="C3" s="36">
        <v>0</v>
      </c>
      <c r="D3" s="36">
        <f>C3*1000</f>
        <v>0</v>
      </c>
      <c r="E3" s="36"/>
      <c r="F3" s="35">
        <v>0</v>
      </c>
      <c r="G3" s="35">
        <v>0</v>
      </c>
      <c r="H3" s="35">
        <v>0</v>
      </c>
      <c r="I3" s="35">
        <v>0</v>
      </c>
      <c r="J3" s="35">
        <v>0</v>
      </c>
      <c r="K3" s="35">
        <v>0</v>
      </c>
      <c r="L3" s="37">
        <v>2.6599999999999999E-2</v>
      </c>
      <c r="M3" s="35">
        <v>0</v>
      </c>
      <c r="N3" s="7">
        <v>5.7000000000000002E-2</v>
      </c>
      <c r="O3" s="38">
        <v>0</v>
      </c>
      <c r="P3" s="38">
        <v>0</v>
      </c>
      <c r="Q3" s="38">
        <v>0</v>
      </c>
      <c r="R3" s="38">
        <f>L3/N3</f>
        <v>0.46666666666666662</v>
      </c>
      <c r="S3" s="20">
        <v>1</v>
      </c>
    </row>
    <row r="4" spans="1:19" ht="15" x14ac:dyDescent="0.2">
      <c r="A4" s="20">
        <v>2</v>
      </c>
      <c r="B4" s="39" t="s">
        <v>115</v>
      </c>
      <c r="C4" s="36">
        <f>3.34*0.3</f>
        <v>1.002</v>
      </c>
      <c r="D4" s="36">
        <f t="shared" ref="D4:D19" si="0">C4*1000</f>
        <v>1002</v>
      </c>
      <c r="E4" s="36"/>
      <c r="F4" s="40">
        <v>13.9</v>
      </c>
      <c r="G4" s="41">
        <v>17.100000000000001</v>
      </c>
      <c r="H4" s="41">
        <v>16.399999999999999</v>
      </c>
      <c r="I4" s="40">
        <v>17.8</v>
      </c>
      <c r="J4" s="40">
        <v>5.96</v>
      </c>
      <c r="K4" s="40">
        <v>6.04</v>
      </c>
      <c r="L4" s="40">
        <v>4.0599999999999996</v>
      </c>
      <c r="M4" s="40">
        <v>3.51</v>
      </c>
      <c r="N4" s="7">
        <v>114.7</v>
      </c>
      <c r="O4" s="38">
        <f>MAX(F4:G4)/$N4</f>
        <v>0.14908456843940715</v>
      </c>
      <c r="P4" s="38">
        <f>MAX(H4:I4)/$N4</f>
        <v>0.15518744551002617</v>
      </c>
      <c r="Q4" s="38">
        <f>MAX(J4:K4)/$N4</f>
        <v>5.2659110723626855E-2</v>
      </c>
      <c r="R4" s="38">
        <f>MAX(L4:M4)/$N4</f>
        <v>3.5396687009590234E-2</v>
      </c>
      <c r="S4" s="20">
        <v>1</v>
      </c>
    </row>
    <row r="5" spans="1:19" ht="15" x14ac:dyDescent="0.2">
      <c r="A5" s="20">
        <v>3</v>
      </c>
      <c r="B5" s="42" t="s">
        <v>116</v>
      </c>
      <c r="C5" s="43">
        <f>2.26*0.3</f>
        <v>0.67799999999999994</v>
      </c>
      <c r="D5" s="36">
        <f t="shared" si="0"/>
        <v>677.99999999999989</v>
      </c>
      <c r="E5" s="36"/>
      <c r="F5" s="44">
        <v>56</v>
      </c>
      <c r="G5" s="44">
        <v>59</v>
      </c>
      <c r="H5" s="44">
        <v>59</v>
      </c>
      <c r="I5" s="44">
        <v>66</v>
      </c>
      <c r="J5" s="44">
        <v>33</v>
      </c>
      <c r="K5" s="44">
        <v>30</v>
      </c>
      <c r="L5" s="44">
        <v>0</v>
      </c>
      <c r="M5" s="44">
        <v>0</v>
      </c>
      <c r="N5" s="6">
        <v>2900</v>
      </c>
      <c r="O5" s="38">
        <f>MAX(F5:G5)/N5</f>
        <v>2.0344827586206895E-2</v>
      </c>
      <c r="P5" s="38">
        <f t="shared" ref="P5:P19" si="1">MAX(H5:I5)/$N5</f>
        <v>2.2758620689655173E-2</v>
      </c>
      <c r="Q5" s="38">
        <f t="shared" ref="Q5:Q19" si="2">MAX(J5:K5)/$N5</f>
        <v>1.1379310344827587E-2</v>
      </c>
      <c r="R5" s="38">
        <f t="shared" ref="R5:R19" si="3">MAX(L5:M5)/$N5</f>
        <v>0</v>
      </c>
      <c r="S5" s="20">
        <v>1</v>
      </c>
    </row>
    <row r="6" spans="1:19" s="39" customFormat="1" ht="15" x14ac:dyDescent="0.2">
      <c r="A6" s="20">
        <v>4</v>
      </c>
      <c r="B6" s="39" t="s">
        <v>117</v>
      </c>
      <c r="C6" s="39">
        <f>0.0789*0.3</f>
        <v>2.367E-2</v>
      </c>
      <c r="D6" s="39">
        <f>C6*1000</f>
        <v>23.67</v>
      </c>
      <c r="E6" s="39">
        <v>200</v>
      </c>
      <c r="F6" s="39">
        <v>2.4</v>
      </c>
      <c r="G6" s="39">
        <v>2.5</v>
      </c>
      <c r="H6" s="39">
        <v>3.2</v>
      </c>
      <c r="I6" s="39">
        <v>2.69</v>
      </c>
      <c r="J6" s="39">
        <v>0.68</v>
      </c>
      <c r="K6" s="39">
        <v>0.62</v>
      </c>
      <c r="L6" s="39">
        <v>0</v>
      </c>
      <c r="M6" s="39">
        <v>0</v>
      </c>
      <c r="N6" s="3">
        <v>1.06</v>
      </c>
      <c r="O6" s="39">
        <f>MAX(F6:G6)/N6</f>
        <v>2.3584905660377355</v>
      </c>
      <c r="P6" s="39">
        <f t="shared" si="1"/>
        <v>3.0188679245283021</v>
      </c>
      <c r="Q6" s="39">
        <f t="shared" si="2"/>
        <v>0.64150943396226412</v>
      </c>
      <c r="R6" s="39">
        <f t="shared" si="3"/>
        <v>0</v>
      </c>
      <c r="S6" s="39">
        <v>1</v>
      </c>
    </row>
    <row r="7" spans="1:19" s="39" customFormat="1" ht="15" x14ac:dyDescent="0.2">
      <c r="A7" s="20">
        <v>5</v>
      </c>
      <c r="B7" s="39" t="s">
        <v>118</v>
      </c>
      <c r="C7" s="39">
        <v>0</v>
      </c>
      <c r="D7" s="39">
        <f t="shared" si="0"/>
        <v>0</v>
      </c>
      <c r="E7" s="39">
        <v>1000</v>
      </c>
      <c r="F7" s="39">
        <v>56.6</v>
      </c>
      <c r="G7" s="39">
        <v>26.2</v>
      </c>
      <c r="H7" s="39">
        <v>27.9</v>
      </c>
      <c r="I7" s="39">
        <v>23.3</v>
      </c>
      <c r="J7" s="39">
        <v>36.200000000000003</v>
      </c>
      <c r="K7" s="39">
        <v>25.2</v>
      </c>
      <c r="L7" s="39">
        <v>10.5</v>
      </c>
      <c r="M7" s="39">
        <v>10.7</v>
      </c>
      <c r="N7" s="3">
        <v>6.3</v>
      </c>
      <c r="O7" s="39">
        <f>MAX(F7:G7)/N7</f>
        <v>8.9841269841269842</v>
      </c>
      <c r="P7" s="39">
        <f t="shared" si="1"/>
        <v>4.4285714285714288</v>
      </c>
      <c r="Q7" s="39">
        <f t="shared" si="2"/>
        <v>5.7460317460317469</v>
      </c>
      <c r="R7" s="39">
        <f>MAX(L7:M7)/$N7</f>
        <v>1.6984126984126984</v>
      </c>
      <c r="S7" s="39">
        <v>1</v>
      </c>
    </row>
    <row r="8" spans="1:19" s="39" customFormat="1" ht="15" x14ac:dyDescent="0.2">
      <c r="A8" s="20">
        <v>6</v>
      </c>
      <c r="B8" s="39" t="s">
        <v>16</v>
      </c>
      <c r="C8" s="39">
        <f>0.371*0.3</f>
        <v>0.1113</v>
      </c>
      <c r="D8" s="39">
        <f>C8*1000</f>
        <v>111.3</v>
      </c>
      <c r="F8" s="39">
        <v>2.4</v>
      </c>
      <c r="G8" s="39">
        <v>2.6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">
        <v>1650</v>
      </c>
      <c r="O8" s="39">
        <f>MAX(F8:G8)/N8</f>
        <v>1.5757575757575758E-3</v>
      </c>
      <c r="P8" s="39">
        <f t="shared" si="1"/>
        <v>0</v>
      </c>
      <c r="Q8" s="39">
        <f t="shared" si="2"/>
        <v>0</v>
      </c>
      <c r="R8" s="39">
        <f>MAX(L8:M8)/$N8</f>
        <v>0</v>
      </c>
      <c r="S8" s="39">
        <v>1</v>
      </c>
    </row>
    <row r="9" spans="1:19" s="39" customFormat="1" ht="15" x14ac:dyDescent="0.2">
      <c r="A9" s="20">
        <v>7</v>
      </c>
      <c r="B9" s="39" t="s">
        <v>119</v>
      </c>
      <c r="C9" s="39">
        <f>13.9*0.3</f>
        <v>4.17</v>
      </c>
      <c r="D9" s="39">
        <f t="shared" si="0"/>
        <v>4170</v>
      </c>
      <c r="E9" s="39">
        <v>500</v>
      </c>
      <c r="F9" s="39">
        <v>271</v>
      </c>
      <c r="G9" s="39">
        <v>341</v>
      </c>
      <c r="H9" s="39">
        <v>396</v>
      </c>
      <c r="I9" s="39">
        <v>413</v>
      </c>
      <c r="J9" s="39">
        <v>113</v>
      </c>
      <c r="K9" s="39">
        <v>118</v>
      </c>
      <c r="L9" s="39">
        <v>55.2</v>
      </c>
      <c r="M9" s="39">
        <v>56.4</v>
      </c>
      <c r="N9" s="3">
        <v>34</v>
      </c>
      <c r="O9" s="39">
        <f>MAX(F9:G9)/N9</f>
        <v>10.029411764705882</v>
      </c>
      <c r="P9" s="39">
        <f t="shared" si="1"/>
        <v>12.147058823529411</v>
      </c>
      <c r="Q9" s="39">
        <f t="shared" si="2"/>
        <v>3.4705882352941178</v>
      </c>
      <c r="R9" s="39">
        <f t="shared" si="3"/>
        <v>1.6588235294117646</v>
      </c>
      <c r="S9" s="39">
        <v>1</v>
      </c>
    </row>
    <row r="10" spans="1:19" s="39" customFormat="1" ht="15" x14ac:dyDescent="0.2">
      <c r="A10" s="20">
        <v>8</v>
      </c>
      <c r="B10" s="81" t="s">
        <v>13</v>
      </c>
      <c r="C10" s="39">
        <v>0</v>
      </c>
      <c r="D10" s="39">
        <f t="shared" si="0"/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">
        <v>11900</v>
      </c>
      <c r="O10" s="39">
        <f t="shared" ref="O10:O19" si="4">MAX(F10:G10)/N10</f>
        <v>0</v>
      </c>
      <c r="P10" s="39">
        <f t="shared" si="1"/>
        <v>0</v>
      </c>
      <c r="Q10" s="39">
        <f t="shared" si="2"/>
        <v>0</v>
      </c>
      <c r="R10" s="39">
        <f t="shared" si="3"/>
        <v>0</v>
      </c>
      <c r="S10" s="39">
        <v>1</v>
      </c>
    </row>
    <row r="11" spans="1:19" s="39" customFormat="1" ht="15" x14ac:dyDescent="0.2">
      <c r="A11" s="20">
        <v>9</v>
      </c>
      <c r="B11" s="39" t="s">
        <v>11</v>
      </c>
      <c r="C11" s="39">
        <v>0</v>
      </c>
      <c r="D11" s="39">
        <f>C11*1000</f>
        <v>0</v>
      </c>
      <c r="F11" s="39">
        <v>50.2</v>
      </c>
      <c r="G11" s="39">
        <v>65.599999999999994</v>
      </c>
      <c r="H11" s="39">
        <v>104</v>
      </c>
      <c r="I11" s="39">
        <v>106</v>
      </c>
      <c r="J11" s="39">
        <v>52.2</v>
      </c>
      <c r="K11" s="39">
        <v>53.3</v>
      </c>
      <c r="L11" s="39">
        <v>47.1</v>
      </c>
      <c r="M11" s="39">
        <v>45</v>
      </c>
      <c r="N11" s="3">
        <v>37</v>
      </c>
      <c r="O11" s="39">
        <f t="shared" si="4"/>
        <v>1.7729729729729728</v>
      </c>
      <c r="P11" s="39">
        <f t="shared" si="1"/>
        <v>2.8648648648648649</v>
      </c>
      <c r="Q11" s="39">
        <f t="shared" si="2"/>
        <v>1.4405405405405405</v>
      </c>
      <c r="R11" s="39">
        <f t="shared" si="3"/>
        <v>1.2729729729729731</v>
      </c>
      <c r="S11" s="39">
        <v>1</v>
      </c>
    </row>
    <row r="12" spans="1:19" s="39" customFormat="1" ht="15" x14ac:dyDescent="0.2">
      <c r="A12" s="20">
        <v>10</v>
      </c>
      <c r="B12" s="39" t="s">
        <v>121</v>
      </c>
      <c r="C12" s="39">
        <f>0.264*0.3</f>
        <v>7.9200000000000007E-2</v>
      </c>
      <c r="D12" s="39">
        <f t="shared" si="0"/>
        <v>79.2</v>
      </c>
      <c r="F12" s="39">
        <v>0</v>
      </c>
      <c r="G12" s="39">
        <v>1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">
        <v>4.0999999999999996</v>
      </c>
      <c r="O12" s="39">
        <f t="shared" si="4"/>
        <v>0.24390243902439027</v>
      </c>
      <c r="P12" s="39">
        <f t="shared" si="1"/>
        <v>0</v>
      </c>
      <c r="Q12" s="39">
        <f t="shared" si="2"/>
        <v>0</v>
      </c>
      <c r="R12" s="39">
        <f t="shared" si="3"/>
        <v>0</v>
      </c>
      <c r="S12" s="39">
        <v>1</v>
      </c>
    </row>
    <row r="13" spans="1:19" s="39" customFormat="1" ht="15" x14ac:dyDescent="0.2">
      <c r="A13" s="20">
        <v>11</v>
      </c>
      <c r="B13" s="39" t="s">
        <v>122</v>
      </c>
      <c r="C13" s="39">
        <f>0.3*16.6</f>
        <v>4.9800000000000004</v>
      </c>
      <c r="D13" s="39">
        <f t="shared" si="0"/>
        <v>4980</v>
      </c>
      <c r="E13" s="39">
        <v>3000</v>
      </c>
      <c r="F13" s="39">
        <v>394</v>
      </c>
      <c r="G13" s="39">
        <v>550</v>
      </c>
      <c r="H13" s="39">
        <v>728</v>
      </c>
      <c r="I13" s="39">
        <v>773</v>
      </c>
      <c r="J13" s="39">
        <v>286</v>
      </c>
      <c r="K13" s="39">
        <v>288</v>
      </c>
      <c r="L13" s="39">
        <v>249</v>
      </c>
      <c r="M13" s="39">
        <v>234</v>
      </c>
      <c r="N13" s="3">
        <v>14.4</v>
      </c>
      <c r="O13" s="39">
        <f t="shared" si="4"/>
        <v>38.194444444444443</v>
      </c>
      <c r="P13" s="39">
        <f t="shared" si="1"/>
        <v>53.680555555555557</v>
      </c>
      <c r="Q13" s="39">
        <f t="shared" si="2"/>
        <v>20</v>
      </c>
      <c r="R13" s="39">
        <f t="shared" si="3"/>
        <v>17.291666666666668</v>
      </c>
      <c r="S13" s="39">
        <v>1</v>
      </c>
    </row>
    <row r="14" spans="1:19" s="39" customFormat="1" ht="15" x14ac:dyDescent="0.2">
      <c r="A14" s="20">
        <v>12</v>
      </c>
      <c r="B14" s="39" t="s">
        <v>123</v>
      </c>
      <c r="C14" s="39">
        <v>0</v>
      </c>
      <c r="D14" s="39">
        <f t="shared" si="0"/>
        <v>0</v>
      </c>
      <c r="F14" s="39">
        <v>0</v>
      </c>
      <c r="G14" s="39">
        <v>9.4E-2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">
        <v>0.19</v>
      </c>
      <c r="O14" s="39">
        <f t="shared" si="4"/>
        <v>0.49473684210526314</v>
      </c>
      <c r="P14" s="39">
        <f t="shared" si="1"/>
        <v>0</v>
      </c>
      <c r="Q14" s="39">
        <f t="shared" si="2"/>
        <v>0</v>
      </c>
      <c r="R14" s="39">
        <f t="shared" si="3"/>
        <v>0</v>
      </c>
      <c r="S14" s="39">
        <v>1</v>
      </c>
    </row>
    <row r="15" spans="1:19" s="39" customFormat="1" ht="15" x14ac:dyDescent="0.2">
      <c r="A15" s="20">
        <v>13</v>
      </c>
      <c r="B15" s="39" t="s">
        <v>124</v>
      </c>
      <c r="C15" s="39">
        <f>0.289*0.3</f>
        <v>8.6699999999999985E-2</v>
      </c>
      <c r="D15" s="39">
        <f t="shared" si="0"/>
        <v>86.699999999999989</v>
      </c>
      <c r="F15" s="39">
        <v>0</v>
      </c>
      <c r="G15" s="39">
        <v>0.42499999999999999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">
        <v>6.5</v>
      </c>
      <c r="O15" s="39">
        <f>MAX(F15:G15)/N15</f>
        <v>6.5384615384615388E-2</v>
      </c>
      <c r="P15" s="39">
        <f t="shared" si="1"/>
        <v>0</v>
      </c>
      <c r="Q15" s="39">
        <f t="shared" si="2"/>
        <v>0</v>
      </c>
      <c r="R15" s="39">
        <f t="shared" si="3"/>
        <v>0</v>
      </c>
      <c r="S15" s="39">
        <v>1</v>
      </c>
    </row>
    <row r="16" spans="1:19" s="39" customFormat="1" ht="15" x14ac:dyDescent="0.2">
      <c r="A16" s="20">
        <v>14</v>
      </c>
      <c r="B16" s="39" t="s">
        <v>125</v>
      </c>
      <c r="C16" s="39">
        <v>0</v>
      </c>
      <c r="D16" s="39">
        <f t="shared" si="0"/>
        <v>0</v>
      </c>
      <c r="E16" s="39">
        <v>1000</v>
      </c>
      <c r="F16" s="39">
        <v>49</v>
      </c>
      <c r="G16" s="39">
        <v>63.6</v>
      </c>
      <c r="H16" s="39">
        <v>17.600000000000001</v>
      </c>
      <c r="I16" s="39">
        <v>59.9</v>
      </c>
      <c r="J16" s="39">
        <v>17.7</v>
      </c>
      <c r="K16" s="39">
        <v>25.7</v>
      </c>
      <c r="L16" s="39">
        <v>18</v>
      </c>
      <c r="M16" s="39">
        <v>14.8</v>
      </c>
      <c r="N16" s="3">
        <v>20</v>
      </c>
      <c r="O16" s="39">
        <f t="shared" si="4"/>
        <v>3.18</v>
      </c>
      <c r="P16" s="39">
        <f t="shared" si="1"/>
        <v>2.9950000000000001</v>
      </c>
      <c r="Q16" s="39">
        <f t="shared" si="2"/>
        <v>1.2849999999999999</v>
      </c>
      <c r="R16" s="39">
        <f t="shared" si="3"/>
        <v>0.9</v>
      </c>
      <c r="S16" s="39">
        <v>1</v>
      </c>
    </row>
    <row r="17" spans="1:40" s="39" customFormat="1" ht="15" x14ac:dyDescent="0.2">
      <c r="A17" s="20">
        <v>15</v>
      </c>
      <c r="B17" s="81" t="s">
        <v>126</v>
      </c>
      <c r="C17" s="39">
        <f>0.789*0.3</f>
        <v>0.23669999999999999</v>
      </c>
      <c r="D17" s="39">
        <f t="shared" si="0"/>
        <v>236.7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">
        <v>2.4</v>
      </c>
      <c r="O17" s="39">
        <f t="shared" si="4"/>
        <v>0</v>
      </c>
      <c r="P17" s="39">
        <f t="shared" si="1"/>
        <v>0</v>
      </c>
      <c r="Q17" s="39">
        <f t="shared" si="2"/>
        <v>0</v>
      </c>
      <c r="R17" s="39">
        <f t="shared" si="3"/>
        <v>0</v>
      </c>
      <c r="S17" s="39">
        <v>1</v>
      </c>
    </row>
    <row r="18" spans="1:40" s="39" customFormat="1" ht="15" x14ac:dyDescent="0.2">
      <c r="A18" s="20">
        <v>16</v>
      </c>
      <c r="B18" s="39" t="s">
        <v>127</v>
      </c>
      <c r="C18" s="39">
        <v>0</v>
      </c>
      <c r="D18" s="39">
        <f t="shared" si="0"/>
        <v>0</v>
      </c>
      <c r="F18" s="39">
        <v>2.17</v>
      </c>
      <c r="G18" s="39">
        <v>2.2599999999999998</v>
      </c>
      <c r="H18" s="39">
        <v>2.0499999999999998</v>
      </c>
      <c r="I18" s="39">
        <v>1.81</v>
      </c>
      <c r="J18" s="39">
        <v>0</v>
      </c>
      <c r="K18" s="39">
        <v>0</v>
      </c>
      <c r="L18" s="39">
        <v>0</v>
      </c>
      <c r="M18" s="39">
        <v>0</v>
      </c>
      <c r="N18" s="3">
        <v>5.6</v>
      </c>
      <c r="O18" s="39">
        <f t="shared" si="4"/>
        <v>0.40357142857142858</v>
      </c>
      <c r="P18" s="39">
        <f t="shared" si="1"/>
        <v>0.36607142857142855</v>
      </c>
      <c r="Q18" s="39">
        <f t="shared" si="2"/>
        <v>0</v>
      </c>
      <c r="R18" s="39">
        <f t="shared" si="3"/>
        <v>0</v>
      </c>
      <c r="S18" s="39">
        <v>1</v>
      </c>
    </row>
    <row r="19" spans="1:40" s="39" customFormat="1" ht="15" x14ac:dyDescent="0.2">
      <c r="A19" s="20">
        <v>17</v>
      </c>
      <c r="B19" s="39" t="s">
        <v>1</v>
      </c>
      <c r="C19" s="39">
        <f>135000*0.3</f>
        <v>40500</v>
      </c>
      <c r="D19" s="39">
        <f t="shared" si="0"/>
        <v>40500000</v>
      </c>
      <c r="F19" s="39">
        <v>2680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">
        <v>28</v>
      </c>
      <c r="O19" s="39">
        <f t="shared" si="4"/>
        <v>95.714285714285708</v>
      </c>
      <c r="P19" s="39">
        <f t="shared" si="1"/>
        <v>0</v>
      </c>
      <c r="Q19" s="39">
        <f t="shared" si="2"/>
        <v>0</v>
      </c>
      <c r="R19" s="39">
        <f t="shared" si="3"/>
        <v>0</v>
      </c>
      <c r="S19" s="39">
        <v>1</v>
      </c>
    </row>
    <row r="20" spans="1:40" s="45" customFormat="1" ht="15" x14ac:dyDescent="0.2">
      <c r="A20" s="20">
        <v>18</v>
      </c>
      <c r="B20" s="81" t="s">
        <v>0</v>
      </c>
      <c r="C20" s="39">
        <v>0</v>
      </c>
      <c r="D20" s="39">
        <v>0</v>
      </c>
      <c r="E20" s="39"/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">
        <v>170</v>
      </c>
      <c r="O20" s="39">
        <f>F20/$N$20</f>
        <v>0</v>
      </c>
      <c r="P20" s="39">
        <f t="shared" ref="P20:R20" si="5">G20/$N$20</f>
        <v>0</v>
      </c>
      <c r="Q20" s="39">
        <f t="shared" si="5"/>
        <v>0</v>
      </c>
      <c r="R20" s="39">
        <f t="shared" si="5"/>
        <v>0</v>
      </c>
      <c r="S20" s="39">
        <v>1</v>
      </c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</row>
    <row r="21" spans="1:40" ht="16" x14ac:dyDescent="0.2">
      <c r="E21" s="95" t="s">
        <v>99</v>
      </c>
      <c r="F21" s="97" t="s">
        <v>128</v>
      </c>
      <c r="G21" s="98"/>
      <c r="H21" s="98"/>
      <c r="I21" s="98"/>
      <c r="J21" s="98"/>
      <c r="K21" s="98"/>
      <c r="L21" s="98"/>
      <c r="M21" s="99"/>
      <c r="N21" s="26" t="s">
        <v>104</v>
      </c>
      <c r="O21" s="47" t="s">
        <v>105</v>
      </c>
      <c r="P21" s="48" t="s">
        <v>106</v>
      </c>
      <c r="Q21" s="48" t="s">
        <v>107</v>
      </c>
      <c r="R21" s="49" t="s">
        <v>108</v>
      </c>
    </row>
    <row r="22" spans="1:40" ht="16" x14ac:dyDescent="0.2">
      <c r="E22" s="96"/>
      <c r="F22" s="50">
        <v>10</v>
      </c>
      <c r="G22" s="51">
        <v>10</v>
      </c>
      <c r="H22" s="51">
        <v>10</v>
      </c>
      <c r="I22" s="51">
        <v>10</v>
      </c>
      <c r="J22" s="51">
        <v>10</v>
      </c>
      <c r="K22" s="51">
        <v>10</v>
      </c>
      <c r="L22" s="51">
        <v>10</v>
      </c>
      <c r="M22" s="52">
        <v>10</v>
      </c>
      <c r="N22" s="32" t="s">
        <v>113</v>
      </c>
      <c r="O22" s="47" t="s">
        <v>27</v>
      </c>
      <c r="P22" s="48" t="s">
        <v>27</v>
      </c>
      <c r="Q22" s="48" t="s">
        <v>27</v>
      </c>
      <c r="R22" s="49" t="s">
        <v>27</v>
      </c>
    </row>
    <row r="23" spans="1:40" ht="15" x14ac:dyDescent="0.2">
      <c r="D23" s="20">
        <v>1</v>
      </c>
      <c r="E23" s="39" t="s">
        <v>114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f>L3/$L$22</f>
        <v>2.66E-3</v>
      </c>
      <c r="M23" s="39">
        <v>0</v>
      </c>
      <c r="N23" s="7">
        <v>5.7000000000000002E-2</v>
      </c>
      <c r="O23" s="39">
        <f>MAX(F23:G23)/N23</f>
        <v>0</v>
      </c>
      <c r="P23" s="39">
        <f>MAX(G23:H23)/N23</f>
        <v>0</v>
      </c>
      <c r="Q23" s="39">
        <f>MAX(J23:K23)/N23</f>
        <v>0</v>
      </c>
      <c r="R23" s="39">
        <f>MAX(L23:M23)/N23</f>
        <v>4.6666666666666669E-2</v>
      </c>
    </row>
    <row r="24" spans="1:40" ht="15" x14ac:dyDescent="0.2">
      <c r="D24" s="20">
        <v>2</v>
      </c>
      <c r="E24" s="39" t="s">
        <v>115</v>
      </c>
      <c r="F24" s="39">
        <f>F4/$F$22</f>
        <v>1.3900000000000001</v>
      </c>
      <c r="G24" s="39">
        <f>G4/$G$22</f>
        <v>1.7100000000000002</v>
      </c>
      <c r="H24" s="39">
        <f>H4/$H$22</f>
        <v>1.64</v>
      </c>
      <c r="I24" s="39">
        <f>I4/$I$22</f>
        <v>1.78</v>
      </c>
      <c r="J24" s="39">
        <f>J4/$J$22</f>
        <v>0.59599999999999997</v>
      </c>
      <c r="K24" s="39">
        <f>K4/$K$22</f>
        <v>0.60399999999999998</v>
      </c>
      <c r="L24" s="39">
        <f>L4/$L$22</f>
        <v>0.40599999999999997</v>
      </c>
      <c r="M24" s="39">
        <f>M4/$M$22</f>
        <v>0.35099999999999998</v>
      </c>
      <c r="N24" s="7">
        <v>114.7</v>
      </c>
      <c r="O24" s="39">
        <f t="shared" ref="O24:O38" si="6">MAX(F24:G24)/N24</f>
        <v>1.4908456843940716E-2</v>
      </c>
      <c r="P24" s="39">
        <f t="shared" ref="P24:P38" si="7">MAX(G24:H24)/N24</f>
        <v>1.4908456843940716E-2</v>
      </c>
      <c r="Q24" s="39">
        <f t="shared" ref="Q24:Q38" si="8">MAX(J24:K24)/N24</f>
        <v>5.2659110723626851E-3</v>
      </c>
      <c r="R24" s="39">
        <f t="shared" ref="R24:R38" si="9">MAX(L24:M24)/N24</f>
        <v>3.5396687009590232E-3</v>
      </c>
    </row>
    <row r="25" spans="1:40" ht="15" x14ac:dyDescent="0.2">
      <c r="D25" s="20">
        <v>3</v>
      </c>
      <c r="E25" s="39" t="s">
        <v>116</v>
      </c>
      <c r="F25" s="39">
        <f t="shared" ref="F25:F40" si="10">F5/$F$22</f>
        <v>5.6</v>
      </c>
      <c r="G25" s="39">
        <f t="shared" ref="G25:G40" si="11">G5/$G$22</f>
        <v>5.9</v>
      </c>
      <c r="H25" s="39">
        <f t="shared" ref="H25:H40" si="12">H5/$H$22</f>
        <v>5.9</v>
      </c>
      <c r="I25" s="39">
        <f t="shared" ref="I25:I40" si="13">I5/$I$22</f>
        <v>6.6</v>
      </c>
      <c r="J25" s="39">
        <f t="shared" ref="J25:J40" si="14">J5/$J$22</f>
        <v>3.3</v>
      </c>
      <c r="K25" s="39">
        <f t="shared" ref="K25:K40" si="15">K5/$K$22</f>
        <v>3</v>
      </c>
      <c r="L25" s="39">
        <f t="shared" ref="L25:L40" si="16">L5/$L$22</f>
        <v>0</v>
      </c>
      <c r="M25" s="39">
        <f t="shared" ref="M25:M40" si="17">M5/$M$22</f>
        <v>0</v>
      </c>
      <c r="N25" s="6">
        <v>2900</v>
      </c>
      <c r="O25" s="39">
        <f t="shared" si="6"/>
        <v>2.0344827586206899E-3</v>
      </c>
      <c r="P25" s="39">
        <f t="shared" si="7"/>
        <v>2.0344827586206899E-3</v>
      </c>
      <c r="Q25" s="39">
        <f t="shared" si="8"/>
        <v>1.1379310344827585E-3</v>
      </c>
      <c r="R25" s="39">
        <f t="shared" si="9"/>
        <v>0</v>
      </c>
    </row>
    <row r="26" spans="1:40" ht="15" x14ac:dyDescent="0.2">
      <c r="A26" s="20">
        <v>8860</v>
      </c>
      <c r="B26" s="46" t="s">
        <v>47</v>
      </c>
      <c r="C26" s="63" t="s">
        <v>151</v>
      </c>
      <c r="D26" s="20">
        <v>4</v>
      </c>
      <c r="E26" s="39" t="s">
        <v>117</v>
      </c>
      <c r="F26" s="39">
        <f t="shared" si="10"/>
        <v>0.24</v>
      </c>
      <c r="G26" s="39">
        <f t="shared" si="11"/>
        <v>0.25</v>
      </c>
      <c r="H26" s="39">
        <f t="shared" si="12"/>
        <v>0.32</v>
      </c>
      <c r="I26" s="39">
        <f t="shared" si="13"/>
        <v>0.26900000000000002</v>
      </c>
      <c r="J26" s="39">
        <f t="shared" si="14"/>
        <v>6.8000000000000005E-2</v>
      </c>
      <c r="K26" s="39">
        <f t="shared" si="15"/>
        <v>6.2E-2</v>
      </c>
      <c r="L26" s="39">
        <f t="shared" si="16"/>
        <v>0</v>
      </c>
      <c r="M26" s="39">
        <f t="shared" si="17"/>
        <v>0</v>
      </c>
      <c r="N26" s="3">
        <v>1.06</v>
      </c>
      <c r="O26" s="39">
        <f>MAX(F26:G26)/N26</f>
        <v>0.23584905660377356</v>
      </c>
      <c r="P26" s="39">
        <f t="shared" si="7"/>
        <v>0.30188679245283018</v>
      </c>
      <c r="Q26" s="39">
        <f t="shared" si="8"/>
        <v>6.4150943396226415E-2</v>
      </c>
      <c r="R26" s="39">
        <f t="shared" si="9"/>
        <v>0</v>
      </c>
    </row>
    <row r="27" spans="1:40" ht="15" x14ac:dyDescent="0.2">
      <c r="D27" s="20">
        <v>5</v>
      </c>
      <c r="E27" s="39" t="s">
        <v>118</v>
      </c>
      <c r="F27" s="39">
        <f t="shared" si="10"/>
        <v>5.66</v>
      </c>
      <c r="G27" s="39">
        <f t="shared" si="11"/>
        <v>2.62</v>
      </c>
      <c r="H27" s="39">
        <f t="shared" si="12"/>
        <v>2.79</v>
      </c>
      <c r="I27" s="39">
        <f t="shared" si="13"/>
        <v>2.33</v>
      </c>
      <c r="J27" s="39">
        <f t="shared" si="14"/>
        <v>3.62</v>
      </c>
      <c r="K27" s="39">
        <f t="shared" si="15"/>
        <v>2.52</v>
      </c>
      <c r="L27" s="39">
        <f t="shared" si="16"/>
        <v>1.05</v>
      </c>
      <c r="M27" s="39">
        <f t="shared" si="17"/>
        <v>1.0699999999999998</v>
      </c>
      <c r="N27" s="3">
        <v>6.3</v>
      </c>
      <c r="O27" s="39">
        <f>MAX(F27:G27)/N27</f>
        <v>0.89841269841269844</v>
      </c>
      <c r="P27" s="39">
        <f t="shared" si="7"/>
        <v>0.44285714285714289</v>
      </c>
      <c r="Q27" s="39">
        <f t="shared" si="8"/>
        <v>0.57460317460317467</v>
      </c>
      <c r="R27" s="39">
        <f t="shared" si="9"/>
        <v>0.16984126984126982</v>
      </c>
    </row>
    <row r="28" spans="1:40" ht="15" x14ac:dyDescent="0.2">
      <c r="A28" s="39" t="s">
        <v>1</v>
      </c>
      <c r="B28" s="46">
        <f>135000</f>
        <v>135000</v>
      </c>
      <c r="C28" s="46" t="s">
        <v>129</v>
      </c>
      <c r="D28" s="20">
        <v>6</v>
      </c>
      <c r="E28" s="39" t="s">
        <v>16</v>
      </c>
      <c r="F28" s="39">
        <f t="shared" si="10"/>
        <v>0.24</v>
      </c>
      <c r="G28" s="39">
        <f t="shared" si="11"/>
        <v>0.26</v>
      </c>
      <c r="H28" s="39">
        <f t="shared" si="12"/>
        <v>0</v>
      </c>
      <c r="I28" s="39">
        <f t="shared" si="13"/>
        <v>0</v>
      </c>
      <c r="J28" s="39">
        <f t="shared" si="14"/>
        <v>0</v>
      </c>
      <c r="K28" s="39">
        <f t="shared" si="15"/>
        <v>0</v>
      </c>
      <c r="L28" s="39">
        <f t="shared" si="16"/>
        <v>0</v>
      </c>
      <c r="M28" s="39">
        <f t="shared" si="17"/>
        <v>0</v>
      </c>
      <c r="N28" s="3">
        <v>1650</v>
      </c>
      <c r="O28" s="39">
        <f>MAX(F28:G28)/N28</f>
        <v>1.5757575757575757E-4</v>
      </c>
      <c r="P28" s="39">
        <f t="shared" si="7"/>
        <v>1.5757575757575757E-4</v>
      </c>
      <c r="Q28" s="39">
        <f t="shared" si="8"/>
        <v>0</v>
      </c>
      <c r="R28" s="39">
        <f t="shared" si="9"/>
        <v>0</v>
      </c>
    </row>
    <row r="29" spans="1:40" ht="15" x14ac:dyDescent="0.2">
      <c r="A29" s="20" t="s">
        <v>130</v>
      </c>
      <c r="B29" s="46">
        <v>2680</v>
      </c>
      <c r="C29" s="20" t="s">
        <v>26</v>
      </c>
      <c r="D29" s="20">
        <v>7</v>
      </c>
      <c r="E29" s="39" t="s">
        <v>119</v>
      </c>
      <c r="F29" s="39">
        <f t="shared" si="10"/>
        <v>27.1</v>
      </c>
      <c r="G29" s="39">
        <f t="shared" si="11"/>
        <v>34.1</v>
      </c>
      <c r="H29" s="39">
        <f t="shared" si="12"/>
        <v>39.6</v>
      </c>
      <c r="I29" s="39">
        <f t="shared" si="13"/>
        <v>41.3</v>
      </c>
      <c r="J29" s="39">
        <f t="shared" si="14"/>
        <v>11.3</v>
      </c>
      <c r="K29" s="39">
        <f t="shared" si="15"/>
        <v>11.8</v>
      </c>
      <c r="L29" s="39">
        <f t="shared" si="16"/>
        <v>5.5200000000000005</v>
      </c>
      <c r="M29" s="39">
        <f t="shared" si="17"/>
        <v>5.64</v>
      </c>
      <c r="N29" s="3">
        <v>34</v>
      </c>
      <c r="O29" s="39">
        <f t="shared" si="6"/>
        <v>1.0029411764705882</v>
      </c>
      <c r="P29" s="39">
        <f t="shared" si="7"/>
        <v>1.1647058823529413</v>
      </c>
      <c r="Q29" s="39">
        <f t="shared" si="8"/>
        <v>0.34705882352941181</v>
      </c>
      <c r="R29" s="39">
        <f t="shared" si="9"/>
        <v>0.16588235294117645</v>
      </c>
    </row>
    <row r="30" spans="1:40" ht="15" x14ac:dyDescent="0.2">
      <c r="A30" s="20" t="s">
        <v>131</v>
      </c>
      <c r="B30" s="46">
        <v>998.23</v>
      </c>
      <c r="C30" s="20" t="s">
        <v>47</v>
      </c>
      <c r="D30" s="20">
        <v>8</v>
      </c>
      <c r="E30" s="39" t="s">
        <v>120</v>
      </c>
      <c r="F30" s="39">
        <f t="shared" si="10"/>
        <v>0</v>
      </c>
      <c r="G30" s="39">
        <f t="shared" si="11"/>
        <v>0</v>
      </c>
      <c r="H30" s="39">
        <f t="shared" si="12"/>
        <v>0</v>
      </c>
      <c r="I30" s="39">
        <f t="shared" si="13"/>
        <v>0</v>
      </c>
      <c r="J30" s="39">
        <f t="shared" si="14"/>
        <v>0</v>
      </c>
      <c r="K30" s="39">
        <f t="shared" si="15"/>
        <v>0</v>
      </c>
      <c r="L30" s="39">
        <f t="shared" si="16"/>
        <v>0</v>
      </c>
      <c r="M30" s="39">
        <f t="shared" si="17"/>
        <v>0</v>
      </c>
      <c r="N30" s="3">
        <v>11900</v>
      </c>
      <c r="O30" s="39">
        <f t="shared" si="6"/>
        <v>0</v>
      </c>
      <c r="P30" s="39">
        <f t="shared" si="7"/>
        <v>0</v>
      </c>
      <c r="Q30" s="39">
        <f t="shared" si="8"/>
        <v>0</v>
      </c>
      <c r="R30" s="39">
        <f t="shared" si="9"/>
        <v>0</v>
      </c>
    </row>
    <row r="31" spans="1:40" ht="15" x14ac:dyDescent="0.2">
      <c r="A31" s="104" t="s">
        <v>152</v>
      </c>
      <c r="B31" s="46">
        <f>B28*B30</f>
        <v>134761050</v>
      </c>
      <c r="C31" s="63" t="s">
        <v>38</v>
      </c>
      <c r="D31" s="20">
        <v>9</v>
      </c>
      <c r="E31" s="39" t="s">
        <v>11</v>
      </c>
      <c r="F31" s="39">
        <f t="shared" si="10"/>
        <v>5.0200000000000005</v>
      </c>
      <c r="G31" s="39">
        <f t="shared" si="11"/>
        <v>6.56</v>
      </c>
      <c r="H31" s="39">
        <f t="shared" si="12"/>
        <v>10.4</v>
      </c>
      <c r="I31" s="39">
        <f t="shared" si="13"/>
        <v>10.6</v>
      </c>
      <c r="J31" s="39">
        <f t="shared" si="14"/>
        <v>5.2200000000000006</v>
      </c>
      <c r="K31" s="39">
        <f t="shared" si="15"/>
        <v>5.33</v>
      </c>
      <c r="L31" s="39">
        <f t="shared" si="16"/>
        <v>4.71</v>
      </c>
      <c r="M31" s="39">
        <f t="shared" si="17"/>
        <v>4.5</v>
      </c>
      <c r="N31" s="3">
        <v>37</v>
      </c>
      <c r="O31" s="39">
        <f t="shared" si="6"/>
        <v>0.17729729729729729</v>
      </c>
      <c r="P31" s="39">
        <f t="shared" si="7"/>
        <v>0.2810810810810811</v>
      </c>
      <c r="Q31" s="39">
        <f t="shared" si="8"/>
        <v>0.14405405405405405</v>
      </c>
      <c r="R31" s="39">
        <f t="shared" si="9"/>
        <v>0.1272972972972973</v>
      </c>
    </row>
    <row r="32" spans="1:40" ht="15" x14ac:dyDescent="0.2">
      <c r="A32" s="104"/>
      <c r="B32" s="46">
        <f>B31/1000</f>
        <v>134761.04999999999</v>
      </c>
      <c r="C32" s="20" t="s">
        <v>136</v>
      </c>
      <c r="D32" s="20">
        <v>10</v>
      </c>
      <c r="E32" s="39" t="s">
        <v>121</v>
      </c>
      <c r="F32" s="39">
        <f t="shared" si="10"/>
        <v>0</v>
      </c>
      <c r="G32" s="39">
        <f t="shared" si="11"/>
        <v>0.1</v>
      </c>
      <c r="H32" s="39">
        <f t="shared" si="12"/>
        <v>0</v>
      </c>
      <c r="I32" s="39">
        <f t="shared" si="13"/>
        <v>0</v>
      </c>
      <c r="J32" s="39">
        <f t="shared" si="14"/>
        <v>0</v>
      </c>
      <c r="K32" s="39">
        <f t="shared" si="15"/>
        <v>0</v>
      </c>
      <c r="L32" s="39">
        <f t="shared" si="16"/>
        <v>0</v>
      </c>
      <c r="M32" s="39">
        <f t="shared" si="17"/>
        <v>0</v>
      </c>
      <c r="N32" s="3">
        <v>4.0999999999999996</v>
      </c>
      <c r="O32" s="39">
        <f t="shared" si="6"/>
        <v>2.4390243902439029E-2</v>
      </c>
      <c r="P32" s="39">
        <f t="shared" si="7"/>
        <v>2.4390243902439029E-2</v>
      </c>
      <c r="Q32" s="39">
        <f t="shared" si="8"/>
        <v>0</v>
      </c>
      <c r="R32" s="39">
        <f t="shared" si="9"/>
        <v>0</v>
      </c>
    </row>
    <row r="33" spans="1:18" ht="15" x14ac:dyDescent="0.2">
      <c r="A33" s="104"/>
      <c r="B33" s="46">
        <f>B32*1000</f>
        <v>134761050</v>
      </c>
      <c r="C33" s="20" t="s">
        <v>26</v>
      </c>
      <c r="D33" s="20">
        <v>11</v>
      </c>
      <c r="E33" s="39" t="s">
        <v>9</v>
      </c>
      <c r="F33" s="39">
        <f t="shared" si="10"/>
        <v>39.4</v>
      </c>
      <c r="G33" s="39">
        <f t="shared" si="11"/>
        <v>55</v>
      </c>
      <c r="H33" s="39">
        <f t="shared" si="12"/>
        <v>72.8</v>
      </c>
      <c r="I33" s="39">
        <f t="shared" si="13"/>
        <v>77.3</v>
      </c>
      <c r="J33" s="39">
        <f t="shared" si="14"/>
        <v>28.6</v>
      </c>
      <c r="K33" s="39">
        <f t="shared" si="15"/>
        <v>28.8</v>
      </c>
      <c r="L33" s="39">
        <f t="shared" si="16"/>
        <v>24.9</v>
      </c>
      <c r="M33" s="39">
        <f t="shared" si="17"/>
        <v>23.4</v>
      </c>
      <c r="N33" s="3">
        <v>14.4</v>
      </c>
      <c r="O33" s="39">
        <f t="shared" si="6"/>
        <v>3.8194444444444442</v>
      </c>
      <c r="P33" s="39">
        <f t="shared" si="7"/>
        <v>5.0555555555555554</v>
      </c>
      <c r="Q33" s="39">
        <f t="shared" si="8"/>
        <v>2</v>
      </c>
      <c r="R33" s="39">
        <f t="shared" si="9"/>
        <v>1.7291666666666665</v>
      </c>
    </row>
    <row r="34" spans="1:18" ht="15" x14ac:dyDescent="0.2">
      <c r="A34" s="53" t="s">
        <v>132</v>
      </c>
      <c r="B34" s="54">
        <f>B28*0.3</f>
        <v>40500</v>
      </c>
      <c r="C34" s="53" t="s">
        <v>133</v>
      </c>
      <c r="D34" s="20">
        <v>12</v>
      </c>
      <c r="E34" s="39" t="s">
        <v>123</v>
      </c>
      <c r="F34" s="39">
        <f t="shared" si="10"/>
        <v>0</v>
      </c>
      <c r="G34" s="39">
        <f t="shared" si="11"/>
        <v>9.4000000000000004E-3</v>
      </c>
      <c r="H34" s="39">
        <f t="shared" si="12"/>
        <v>0</v>
      </c>
      <c r="I34" s="39">
        <f t="shared" si="13"/>
        <v>0</v>
      </c>
      <c r="J34" s="39">
        <f t="shared" si="14"/>
        <v>0</v>
      </c>
      <c r="K34" s="39">
        <f t="shared" si="15"/>
        <v>0</v>
      </c>
      <c r="L34" s="39">
        <f t="shared" si="16"/>
        <v>0</v>
      </c>
      <c r="M34" s="39">
        <f t="shared" si="17"/>
        <v>0</v>
      </c>
      <c r="N34" s="3">
        <v>0.19</v>
      </c>
      <c r="O34" s="39">
        <f t="shared" si="6"/>
        <v>4.9473684210526316E-2</v>
      </c>
      <c r="P34" s="39">
        <f t="shared" si="7"/>
        <v>4.9473684210526316E-2</v>
      </c>
      <c r="Q34" s="39">
        <f t="shared" si="8"/>
        <v>0</v>
      </c>
      <c r="R34" s="39">
        <f t="shared" si="9"/>
        <v>0</v>
      </c>
    </row>
    <row r="35" spans="1:18" ht="15" x14ac:dyDescent="0.2">
      <c r="A35" s="20" t="s">
        <v>134</v>
      </c>
      <c r="B35" s="46">
        <v>1720</v>
      </c>
      <c r="C35" s="20" t="s">
        <v>47</v>
      </c>
      <c r="D35" s="20">
        <v>13</v>
      </c>
      <c r="E35" s="39" t="s">
        <v>124</v>
      </c>
      <c r="F35" s="39">
        <f t="shared" si="10"/>
        <v>0</v>
      </c>
      <c r="G35" s="39">
        <f t="shared" si="11"/>
        <v>4.2499999999999996E-2</v>
      </c>
      <c r="H35" s="39">
        <f t="shared" si="12"/>
        <v>0</v>
      </c>
      <c r="I35" s="39">
        <f t="shared" si="13"/>
        <v>0</v>
      </c>
      <c r="J35" s="39">
        <f t="shared" si="14"/>
        <v>0</v>
      </c>
      <c r="K35" s="39">
        <f t="shared" si="15"/>
        <v>0</v>
      </c>
      <c r="L35" s="39">
        <f t="shared" si="16"/>
        <v>0</v>
      </c>
      <c r="M35" s="39">
        <f t="shared" si="17"/>
        <v>0</v>
      </c>
      <c r="N35" s="3">
        <v>6.5</v>
      </c>
      <c r="O35" s="39">
        <f t="shared" si="6"/>
        <v>6.5384615384615381E-3</v>
      </c>
      <c r="P35" s="39">
        <f t="shared" si="7"/>
        <v>6.5384615384615381E-3</v>
      </c>
      <c r="Q35" s="39">
        <f t="shared" si="8"/>
        <v>0</v>
      </c>
      <c r="R35" s="39">
        <f t="shared" si="9"/>
        <v>0</v>
      </c>
    </row>
    <row r="36" spans="1:18" ht="15" x14ac:dyDescent="0.2">
      <c r="A36" s="63"/>
      <c r="C36" s="63"/>
      <c r="D36" s="20">
        <v>14</v>
      </c>
      <c r="E36" s="39" t="s">
        <v>125</v>
      </c>
      <c r="F36" s="39">
        <f t="shared" si="10"/>
        <v>4.9000000000000004</v>
      </c>
      <c r="G36" s="39">
        <f t="shared" si="11"/>
        <v>6.36</v>
      </c>
      <c r="H36" s="39">
        <f t="shared" si="12"/>
        <v>1.7600000000000002</v>
      </c>
      <c r="I36" s="39">
        <f t="shared" si="13"/>
        <v>5.99</v>
      </c>
      <c r="J36" s="39">
        <f t="shared" si="14"/>
        <v>1.77</v>
      </c>
      <c r="K36" s="39">
        <f t="shared" si="15"/>
        <v>2.57</v>
      </c>
      <c r="L36" s="39">
        <f t="shared" si="16"/>
        <v>1.8</v>
      </c>
      <c r="M36" s="39">
        <f t="shared" si="17"/>
        <v>1.48</v>
      </c>
      <c r="N36" s="3">
        <v>20</v>
      </c>
      <c r="O36" s="39">
        <f>MAX(F36:G36)/N36</f>
        <v>0.318</v>
      </c>
      <c r="P36" s="39">
        <f t="shared" si="7"/>
        <v>0.318</v>
      </c>
      <c r="Q36" s="39">
        <f t="shared" si="8"/>
        <v>0.1285</v>
      </c>
      <c r="R36" s="39">
        <f t="shared" si="9"/>
        <v>0.09</v>
      </c>
    </row>
    <row r="37" spans="1:18" ht="15" x14ac:dyDescent="0.2">
      <c r="A37" s="104" t="s">
        <v>135</v>
      </c>
      <c r="B37" s="20">
        <v>2680</v>
      </c>
      <c r="C37" s="46" t="s">
        <v>26</v>
      </c>
      <c r="D37" s="20">
        <v>15</v>
      </c>
      <c r="E37" s="39" t="s">
        <v>126</v>
      </c>
      <c r="F37" s="39">
        <f t="shared" si="10"/>
        <v>0</v>
      </c>
      <c r="G37" s="39">
        <f t="shared" si="11"/>
        <v>0</v>
      </c>
      <c r="H37" s="39">
        <f t="shared" si="12"/>
        <v>0</v>
      </c>
      <c r="I37" s="39">
        <f t="shared" si="13"/>
        <v>0</v>
      </c>
      <c r="J37" s="39">
        <f t="shared" si="14"/>
        <v>0</v>
      </c>
      <c r="K37" s="39">
        <f t="shared" si="15"/>
        <v>0</v>
      </c>
      <c r="L37" s="39">
        <f t="shared" si="16"/>
        <v>0</v>
      </c>
      <c r="M37" s="39">
        <f t="shared" si="17"/>
        <v>0</v>
      </c>
      <c r="N37" s="3">
        <v>2.4</v>
      </c>
      <c r="O37" s="39">
        <f t="shared" si="6"/>
        <v>0</v>
      </c>
      <c r="P37" s="39">
        <f t="shared" si="7"/>
        <v>0</v>
      </c>
      <c r="Q37" s="39">
        <f t="shared" si="8"/>
        <v>0</v>
      </c>
      <c r="R37" s="39">
        <f t="shared" si="9"/>
        <v>0</v>
      </c>
    </row>
    <row r="38" spans="1:18" ht="15" x14ac:dyDescent="0.2">
      <c r="A38" s="104"/>
      <c r="B38" s="20">
        <f>B37/1000</f>
        <v>2.68</v>
      </c>
      <c r="C38" s="46" t="s">
        <v>136</v>
      </c>
      <c r="D38" s="20">
        <v>16</v>
      </c>
      <c r="E38" s="39" t="s">
        <v>127</v>
      </c>
      <c r="F38" s="39">
        <f t="shared" si="10"/>
        <v>0.217</v>
      </c>
      <c r="G38" s="39">
        <f t="shared" si="11"/>
        <v>0.22599999999999998</v>
      </c>
      <c r="H38" s="39">
        <f t="shared" si="12"/>
        <v>0.20499999999999999</v>
      </c>
      <c r="I38" s="39">
        <f t="shared" si="13"/>
        <v>0.18099999999999999</v>
      </c>
      <c r="J38" s="39">
        <f t="shared" si="14"/>
        <v>0</v>
      </c>
      <c r="K38" s="39">
        <f t="shared" si="15"/>
        <v>0</v>
      </c>
      <c r="L38" s="39">
        <f t="shared" si="16"/>
        <v>0</v>
      </c>
      <c r="M38" s="39">
        <f t="shared" si="17"/>
        <v>0</v>
      </c>
      <c r="N38" s="3">
        <v>5.6</v>
      </c>
      <c r="O38" s="39">
        <f t="shared" si="6"/>
        <v>4.0357142857142855E-2</v>
      </c>
      <c r="P38" s="39">
        <f t="shared" si="7"/>
        <v>4.0357142857142855E-2</v>
      </c>
      <c r="Q38" s="39">
        <f t="shared" si="8"/>
        <v>0</v>
      </c>
      <c r="R38" s="39">
        <f t="shared" si="9"/>
        <v>0</v>
      </c>
    </row>
    <row r="39" spans="1:18" ht="15" x14ac:dyDescent="0.2">
      <c r="A39" s="104"/>
      <c r="B39" s="20">
        <f>B38*1000</f>
        <v>2680</v>
      </c>
      <c r="C39" s="46" t="s">
        <v>38</v>
      </c>
      <c r="D39" s="20">
        <v>17</v>
      </c>
      <c r="E39" s="39" t="s">
        <v>1</v>
      </c>
      <c r="F39" s="39">
        <f t="shared" si="10"/>
        <v>268</v>
      </c>
      <c r="G39" s="39">
        <f t="shared" si="11"/>
        <v>0</v>
      </c>
      <c r="H39" s="39">
        <f t="shared" si="12"/>
        <v>0</v>
      </c>
      <c r="I39" s="39">
        <f t="shared" si="13"/>
        <v>0</v>
      </c>
      <c r="J39" s="39">
        <f t="shared" si="14"/>
        <v>0</v>
      </c>
      <c r="K39" s="39">
        <f t="shared" si="15"/>
        <v>0</v>
      </c>
      <c r="L39" s="39">
        <f t="shared" si="16"/>
        <v>0</v>
      </c>
      <c r="M39" s="39">
        <f t="shared" si="17"/>
        <v>0</v>
      </c>
      <c r="N39" s="3">
        <v>28</v>
      </c>
      <c r="O39" s="39">
        <f>MAX(F39:G39)/N39</f>
        <v>9.5714285714285712</v>
      </c>
      <c r="P39" s="39">
        <f>MAX(G39:H39)/N39</f>
        <v>0</v>
      </c>
      <c r="Q39" s="39">
        <f>MAX(J39:K39)/N39</f>
        <v>0</v>
      </c>
      <c r="R39" s="39">
        <f>MAX(L39:M39)/N39</f>
        <v>0</v>
      </c>
    </row>
    <row r="40" spans="1:18" ht="15" x14ac:dyDescent="0.2">
      <c r="A40" s="20" t="s">
        <v>137</v>
      </c>
      <c r="B40" s="20">
        <f>B39/B35</f>
        <v>1.558139534883721</v>
      </c>
      <c r="C40" s="46" t="s">
        <v>129</v>
      </c>
      <c r="D40" s="20">
        <v>18</v>
      </c>
      <c r="E40" s="39" t="s">
        <v>0</v>
      </c>
      <c r="F40" s="39">
        <f t="shared" si="10"/>
        <v>0</v>
      </c>
      <c r="G40" s="39">
        <f t="shared" si="11"/>
        <v>0</v>
      </c>
      <c r="H40" s="39">
        <f t="shared" si="12"/>
        <v>0</v>
      </c>
      <c r="I40" s="39">
        <f t="shared" si="13"/>
        <v>0</v>
      </c>
      <c r="J40" s="39">
        <f t="shared" si="14"/>
        <v>0</v>
      </c>
      <c r="K40" s="39">
        <f t="shared" si="15"/>
        <v>0</v>
      </c>
      <c r="L40" s="39">
        <f t="shared" si="16"/>
        <v>0</v>
      </c>
      <c r="M40" s="39">
        <f t="shared" si="17"/>
        <v>0</v>
      </c>
      <c r="N40" s="3">
        <v>170</v>
      </c>
      <c r="O40" s="39">
        <f>F40/$N$40</f>
        <v>0</v>
      </c>
      <c r="P40" s="39">
        <f t="shared" ref="P40:R40" si="18">G40/$N$40</f>
        <v>0</v>
      </c>
      <c r="Q40" s="39">
        <f t="shared" si="18"/>
        <v>0</v>
      </c>
      <c r="R40" s="39">
        <f t="shared" si="18"/>
        <v>0</v>
      </c>
    </row>
    <row r="41" spans="1:18" ht="16" x14ac:dyDescent="0.2">
      <c r="A41" s="20" t="s">
        <v>139</v>
      </c>
      <c r="B41" s="64">
        <f>B40/B34</f>
        <v>3.8472581108240026E-5</v>
      </c>
      <c r="C41" s="20" t="s">
        <v>153</v>
      </c>
      <c r="E41" s="95" t="s">
        <v>99</v>
      </c>
      <c r="F41" s="97" t="s">
        <v>128</v>
      </c>
      <c r="G41" s="98"/>
      <c r="H41" s="98"/>
      <c r="I41" s="98"/>
      <c r="J41" s="98"/>
      <c r="K41" s="98"/>
      <c r="L41" s="98"/>
      <c r="M41" s="99"/>
      <c r="N41" s="59" t="s">
        <v>104</v>
      </c>
      <c r="O41" s="47" t="s">
        <v>105</v>
      </c>
      <c r="P41" s="48" t="s">
        <v>106</v>
      </c>
      <c r="Q41" s="48" t="s">
        <v>107</v>
      </c>
      <c r="R41" s="49" t="s">
        <v>108</v>
      </c>
    </row>
    <row r="42" spans="1:18" ht="15" x14ac:dyDescent="0.2">
      <c r="E42" s="96"/>
      <c r="F42" s="50">
        <v>20</v>
      </c>
      <c r="G42" s="51">
        <v>20</v>
      </c>
      <c r="H42" s="51">
        <v>20</v>
      </c>
      <c r="I42" s="51">
        <v>20</v>
      </c>
      <c r="J42" s="51">
        <v>20</v>
      </c>
      <c r="K42" s="51">
        <v>20</v>
      </c>
      <c r="L42" s="51">
        <v>20</v>
      </c>
      <c r="M42" s="52">
        <v>20</v>
      </c>
      <c r="N42" s="60" t="s">
        <v>113</v>
      </c>
      <c r="O42" s="47" t="s">
        <v>27</v>
      </c>
      <c r="P42" s="48" t="s">
        <v>27</v>
      </c>
      <c r="Q42" s="48" t="s">
        <v>27</v>
      </c>
      <c r="R42" s="49" t="s">
        <v>27</v>
      </c>
    </row>
    <row r="43" spans="1:18" ht="15" x14ac:dyDescent="0.2">
      <c r="B43" s="46">
        <f>B40/0.3</f>
        <v>5.1937984496124034</v>
      </c>
      <c r="C43" s="20" t="s">
        <v>138</v>
      </c>
      <c r="D43" s="20">
        <v>1</v>
      </c>
      <c r="E43" s="39" t="s">
        <v>114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f>L3/$L$42</f>
        <v>1.33E-3</v>
      </c>
      <c r="M43" s="39">
        <v>0</v>
      </c>
      <c r="N43" s="7">
        <v>5.7000000000000002E-2</v>
      </c>
      <c r="O43" s="39">
        <f>MAX(F43:G43)/N43</f>
        <v>0</v>
      </c>
      <c r="P43" s="39">
        <f>MAX(G43:H43)/N43</f>
        <v>0</v>
      </c>
      <c r="Q43" s="39">
        <f>MAX(J43:K43)/N43</f>
        <v>0</v>
      </c>
      <c r="R43" s="39">
        <f>MAX(L43:M43)/N43</f>
        <v>2.3333333333333334E-2</v>
      </c>
    </row>
    <row r="44" spans="1:18" ht="15" x14ac:dyDescent="0.2">
      <c r="B44" s="46">
        <f>B43/B34</f>
        <v>1.2824193702746676E-4</v>
      </c>
      <c r="C44" s="20">
        <f>B44*100</f>
        <v>1.2824193702746676E-2</v>
      </c>
      <c r="D44" s="20">
        <v>2</v>
      </c>
      <c r="E44" s="39" t="s">
        <v>115</v>
      </c>
      <c r="F44" s="39">
        <f>F4/$F$42</f>
        <v>0.69500000000000006</v>
      </c>
      <c r="G44" s="39">
        <f>G4/$G$42</f>
        <v>0.85500000000000009</v>
      </c>
      <c r="H44" s="39">
        <f>H4/$H$42</f>
        <v>0.82</v>
      </c>
      <c r="I44" s="39">
        <f>I4/$I$42</f>
        <v>0.89</v>
      </c>
      <c r="J44" s="39">
        <f>J4/$J$42</f>
        <v>0.29799999999999999</v>
      </c>
      <c r="K44" s="39">
        <f>K4/$K$42</f>
        <v>0.30199999999999999</v>
      </c>
      <c r="L44" s="39">
        <f>L4/$L$42</f>
        <v>0.20299999999999999</v>
      </c>
      <c r="M44" s="39">
        <f>M4/$M$42</f>
        <v>0.17549999999999999</v>
      </c>
      <c r="N44" s="7">
        <v>114.7</v>
      </c>
      <c r="O44" s="39">
        <f t="shared" ref="O44:O45" si="19">MAX(F44:G44)/N44</f>
        <v>7.4542284219703582E-3</v>
      </c>
      <c r="P44" s="39">
        <f t="shared" ref="P44:P60" si="20">MAX(G44:H44)/N44</f>
        <v>7.4542284219703582E-3</v>
      </c>
      <c r="Q44" s="39">
        <f t="shared" ref="Q44:Q60" si="21">MAX(J44:K44)/N44</f>
        <v>2.6329555361813426E-3</v>
      </c>
      <c r="R44" s="39">
        <f t="shared" ref="R44:R60" si="22">MAX(L44:M44)/N44</f>
        <v>1.7698343504795116E-3</v>
      </c>
    </row>
    <row r="45" spans="1:18" ht="15" x14ac:dyDescent="0.2">
      <c r="D45" s="20">
        <v>3</v>
      </c>
      <c r="E45" s="39" t="s">
        <v>116</v>
      </c>
      <c r="F45" s="39">
        <f t="shared" ref="F45:F60" si="23">F5/$F$42</f>
        <v>2.8</v>
      </c>
      <c r="G45" s="39">
        <f t="shared" ref="G45:G60" si="24">G5/$G$42</f>
        <v>2.95</v>
      </c>
      <c r="H45" s="39">
        <f t="shared" ref="H45:H60" si="25">H5/$H$42</f>
        <v>2.95</v>
      </c>
      <c r="I45" s="39">
        <f t="shared" ref="I45:I60" si="26">I5/$I$42</f>
        <v>3.3</v>
      </c>
      <c r="J45" s="39">
        <f t="shared" ref="J45:J60" si="27">J5/$J$42</f>
        <v>1.65</v>
      </c>
      <c r="K45" s="39">
        <f t="shared" ref="K45:K60" si="28">K5/$K$42</f>
        <v>1.5</v>
      </c>
      <c r="L45" s="39">
        <f t="shared" ref="L45:L60" si="29">L5/$L$42</f>
        <v>0</v>
      </c>
      <c r="M45" s="39">
        <f t="shared" ref="M45:M60" si="30">M5/$M$42</f>
        <v>0</v>
      </c>
      <c r="N45" s="6">
        <v>2900</v>
      </c>
      <c r="O45" s="39">
        <f t="shared" si="19"/>
        <v>1.017241379310345E-3</v>
      </c>
      <c r="P45" s="39">
        <f t="shared" si="20"/>
        <v>1.017241379310345E-3</v>
      </c>
      <c r="Q45" s="39">
        <f t="shared" si="21"/>
        <v>5.6896551724137923E-4</v>
      </c>
      <c r="R45" s="39">
        <f t="shared" si="22"/>
        <v>0</v>
      </c>
    </row>
    <row r="46" spans="1:18" ht="15" x14ac:dyDescent="0.2">
      <c r="D46" s="20">
        <v>4</v>
      </c>
      <c r="E46" s="39" t="s">
        <v>117</v>
      </c>
      <c r="F46" s="39">
        <f t="shared" si="23"/>
        <v>0.12</v>
      </c>
      <c r="G46" s="39">
        <f t="shared" si="24"/>
        <v>0.125</v>
      </c>
      <c r="H46" s="39">
        <f t="shared" si="25"/>
        <v>0.16</v>
      </c>
      <c r="I46" s="39">
        <f t="shared" si="26"/>
        <v>0.13450000000000001</v>
      </c>
      <c r="J46" s="39">
        <f t="shared" si="27"/>
        <v>3.4000000000000002E-2</v>
      </c>
      <c r="K46" s="39">
        <f t="shared" si="28"/>
        <v>3.1E-2</v>
      </c>
      <c r="L46" s="39">
        <f t="shared" si="29"/>
        <v>0</v>
      </c>
      <c r="M46" s="39">
        <f t="shared" si="30"/>
        <v>0</v>
      </c>
      <c r="N46" s="3">
        <v>1.06</v>
      </c>
      <c r="O46" s="39">
        <f>MAX(F46:G46)/N46</f>
        <v>0.11792452830188678</v>
      </c>
      <c r="P46" s="39">
        <f t="shared" si="20"/>
        <v>0.15094339622641509</v>
      </c>
      <c r="Q46" s="39">
        <f t="shared" si="21"/>
        <v>3.2075471698113207E-2</v>
      </c>
      <c r="R46" s="39">
        <f t="shared" si="22"/>
        <v>0</v>
      </c>
    </row>
    <row r="47" spans="1:18" ht="15" x14ac:dyDescent="0.2">
      <c r="D47" s="20">
        <v>5</v>
      </c>
      <c r="E47" s="39" t="s">
        <v>118</v>
      </c>
      <c r="F47" s="39">
        <f t="shared" si="23"/>
        <v>2.83</v>
      </c>
      <c r="G47" s="39">
        <f t="shared" si="24"/>
        <v>1.31</v>
      </c>
      <c r="H47" s="39">
        <f t="shared" si="25"/>
        <v>1.395</v>
      </c>
      <c r="I47" s="39">
        <f t="shared" si="26"/>
        <v>1.165</v>
      </c>
      <c r="J47" s="39">
        <f t="shared" si="27"/>
        <v>1.81</v>
      </c>
      <c r="K47" s="39">
        <f t="shared" si="28"/>
        <v>1.26</v>
      </c>
      <c r="L47" s="39">
        <f t="shared" si="29"/>
        <v>0.52500000000000002</v>
      </c>
      <c r="M47" s="39">
        <f t="shared" si="30"/>
        <v>0.53499999999999992</v>
      </c>
      <c r="N47" s="3">
        <v>6.3</v>
      </c>
      <c r="O47" s="39">
        <f>MAX(F47:G47)/N47</f>
        <v>0.44920634920634922</v>
      </c>
      <c r="P47" s="39">
        <f t="shared" si="20"/>
        <v>0.22142857142857145</v>
      </c>
      <c r="Q47" s="39">
        <f t="shared" si="21"/>
        <v>0.28730158730158734</v>
      </c>
      <c r="R47" s="39">
        <f t="shared" si="22"/>
        <v>8.492063492063491E-2</v>
      </c>
    </row>
    <row r="48" spans="1:18" ht="15" x14ac:dyDescent="0.2">
      <c r="D48" s="20">
        <v>6</v>
      </c>
      <c r="E48" s="39" t="s">
        <v>16</v>
      </c>
      <c r="F48" s="39">
        <f t="shared" si="23"/>
        <v>0.12</v>
      </c>
      <c r="G48" s="39">
        <f t="shared" si="24"/>
        <v>0.13</v>
      </c>
      <c r="H48" s="39">
        <f t="shared" si="25"/>
        <v>0</v>
      </c>
      <c r="I48" s="39">
        <f t="shared" si="26"/>
        <v>0</v>
      </c>
      <c r="J48" s="39">
        <f t="shared" si="27"/>
        <v>0</v>
      </c>
      <c r="K48" s="39">
        <f t="shared" si="28"/>
        <v>0</v>
      </c>
      <c r="L48" s="39">
        <f t="shared" si="29"/>
        <v>0</v>
      </c>
      <c r="M48" s="39">
        <f t="shared" si="30"/>
        <v>0</v>
      </c>
      <c r="N48" s="3">
        <v>1650</v>
      </c>
      <c r="O48" s="39">
        <f>MAX(F48:G48)/N48</f>
        <v>7.8787878787878787E-5</v>
      </c>
      <c r="P48" s="39">
        <f t="shared" si="20"/>
        <v>7.8787878787878787E-5</v>
      </c>
      <c r="Q48" s="39">
        <f t="shared" si="21"/>
        <v>0</v>
      </c>
      <c r="R48" s="39">
        <f t="shared" si="22"/>
        <v>0</v>
      </c>
    </row>
    <row r="49" spans="4:18" ht="15" x14ac:dyDescent="0.2">
      <c r="D49" s="20">
        <v>7</v>
      </c>
      <c r="E49" s="39" t="s">
        <v>119</v>
      </c>
      <c r="F49" s="39">
        <f t="shared" si="23"/>
        <v>13.55</v>
      </c>
      <c r="G49" s="39">
        <f t="shared" si="24"/>
        <v>17.05</v>
      </c>
      <c r="H49" s="39">
        <f t="shared" si="25"/>
        <v>19.8</v>
      </c>
      <c r="I49" s="39">
        <f t="shared" si="26"/>
        <v>20.65</v>
      </c>
      <c r="J49" s="39">
        <f t="shared" si="27"/>
        <v>5.65</v>
      </c>
      <c r="K49" s="39">
        <f t="shared" si="28"/>
        <v>5.9</v>
      </c>
      <c r="L49" s="39">
        <f t="shared" si="29"/>
        <v>2.7600000000000002</v>
      </c>
      <c r="M49" s="39">
        <f t="shared" si="30"/>
        <v>2.82</v>
      </c>
      <c r="N49" s="3">
        <v>34</v>
      </c>
      <c r="O49" s="39">
        <f t="shared" ref="O49:O60" si="31">MAX(F49:G49)/N49</f>
        <v>0.50147058823529411</v>
      </c>
      <c r="P49" s="39">
        <f t="shared" si="20"/>
        <v>0.58235294117647063</v>
      </c>
      <c r="Q49" s="39">
        <f t="shared" si="21"/>
        <v>0.1735294117647059</v>
      </c>
      <c r="R49" s="39">
        <f t="shared" si="22"/>
        <v>8.2941176470588227E-2</v>
      </c>
    </row>
    <row r="50" spans="4:18" ht="15" x14ac:dyDescent="0.2">
      <c r="D50" s="20">
        <v>8</v>
      </c>
      <c r="E50" s="39" t="s">
        <v>120</v>
      </c>
      <c r="F50" s="39">
        <f t="shared" si="23"/>
        <v>0</v>
      </c>
      <c r="G50" s="39">
        <f t="shared" si="24"/>
        <v>0</v>
      </c>
      <c r="H50" s="39">
        <f t="shared" si="25"/>
        <v>0</v>
      </c>
      <c r="I50" s="39">
        <f t="shared" si="26"/>
        <v>0</v>
      </c>
      <c r="J50" s="39">
        <f t="shared" si="27"/>
        <v>0</v>
      </c>
      <c r="K50" s="39">
        <f t="shared" si="28"/>
        <v>0</v>
      </c>
      <c r="L50" s="39">
        <f t="shared" si="29"/>
        <v>0</v>
      </c>
      <c r="M50" s="39">
        <f t="shared" si="30"/>
        <v>0</v>
      </c>
      <c r="N50" s="3">
        <v>11900</v>
      </c>
      <c r="O50" s="39">
        <f t="shared" si="31"/>
        <v>0</v>
      </c>
      <c r="P50" s="39">
        <f t="shared" si="20"/>
        <v>0</v>
      </c>
      <c r="Q50" s="39">
        <f t="shared" si="21"/>
        <v>0</v>
      </c>
      <c r="R50" s="39">
        <f t="shared" si="22"/>
        <v>0</v>
      </c>
    </row>
    <row r="51" spans="4:18" ht="15" x14ac:dyDescent="0.2">
      <c r="D51" s="20">
        <v>9</v>
      </c>
      <c r="E51" s="39" t="s">
        <v>11</v>
      </c>
      <c r="F51" s="39">
        <f t="shared" si="23"/>
        <v>2.5100000000000002</v>
      </c>
      <c r="G51" s="39">
        <f t="shared" si="24"/>
        <v>3.28</v>
      </c>
      <c r="H51" s="39">
        <f t="shared" si="25"/>
        <v>5.2</v>
      </c>
      <c r="I51" s="39">
        <f t="shared" si="26"/>
        <v>5.3</v>
      </c>
      <c r="J51" s="39">
        <f t="shared" si="27"/>
        <v>2.6100000000000003</v>
      </c>
      <c r="K51" s="39">
        <f t="shared" si="28"/>
        <v>2.665</v>
      </c>
      <c r="L51" s="39">
        <f t="shared" si="29"/>
        <v>2.355</v>
      </c>
      <c r="M51" s="39">
        <f t="shared" si="30"/>
        <v>2.25</v>
      </c>
      <c r="N51" s="3">
        <v>37</v>
      </c>
      <c r="O51" s="39">
        <f t="shared" si="31"/>
        <v>8.8648648648648645E-2</v>
      </c>
      <c r="P51" s="39">
        <f t="shared" si="20"/>
        <v>0.14054054054054055</v>
      </c>
      <c r="Q51" s="39">
        <f t="shared" si="21"/>
        <v>7.2027027027027027E-2</v>
      </c>
      <c r="R51" s="39">
        <f t="shared" si="22"/>
        <v>6.3648648648648651E-2</v>
      </c>
    </row>
    <row r="52" spans="4:18" ht="15" x14ac:dyDescent="0.2">
      <c r="D52" s="20">
        <v>10</v>
      </c>
      <c r="E52" s="39" t="s">
        <v>121</v>
      </c>
      <c r="F52" s="39">
        <f t="shared" si="23"/>
        <v>0</v>
      </c>
      <c r="G52" s="39">
        <f t="shared" si="24"/>
        <v>0.05</v>
      </c>
      <c r="H52" s="39">
        <f t="shared" si="25"/>
        <v>0</v>
      </c>
      <c r="I52" s="39">
        <f t="shared" si="26"/>
        <v>0</v>
      </c>
      <c r="J52" s="39">
        <f t="shared" si="27"/>
        <v>0</v>
      </c>
      <c r="K52" s="39">
        <f t="shared" si="28"/>
        <v>0</v>
      </c>
      <c r="L52" s="39">
        <f t="shared" si="29"/>
        <v>0</v>
      </c>
      <c r="M52" s="39">
        <f t="shared" si="30"/>
        <v>0</v>
      </c>
      <c r="N52" s="3">
        <v>4.0999999999999996</v>
      </c>
      <c r="O52" s="39">
        <f t="shared" si="31"/>
        <v>1.2195121951219514E-2</v>
      </c>
      <c r="P52" s="39">
        <f t="shared" si="20"/>
        <v>1.2195121951219514E-2</v>
      </c>
      <c r="Q52" s="39">
        <f t="shared" si="21"/>
        <v>0</v>
      </c>
      <c r="R52" s="39">
        <f t="shared" si="22"/>
        <v>0</v>
      </c>
    </row>
    <row r="53" spans="4:18" ht="15" x14ac:dyDescent="0.2">
      <c r="D53" s="20">
        <v>11</v>
      </c>
      <c r="E53" s="39" t="s">
        <v>122</v>
      </c>
      <c r="F53" s="39">
        <f t="shared" si="23"/>
        <v>19.7</v>
      </c>
      <c r="G53" s="39">
        <f t="shared" si="24"/>
        <v>27.5</v>
      </c>
      <c r="H53" s="39">
        <f t="shared" si="25"/>
        <v>36.4</v>
      </c>
      <c r="I53" s="39">
        <f t="shared" si="26"/>
        <v>38.65</v>
      </c>
      <c r="J53" s="39">
        <f t="shared" si="27"/>
        <v>14.3</v>
      </c>
      <c r="K53" s="39">
        <f t="shared" si="28"/>
        <v>14.4</v>
      </c>
      <c r="L53" s="39">
        <f t="shared" si="29"/>
        <v>12.45</v>
      </c>
      <c r="M53" s="39">
        <f t="shared" si="30"/>
        <v>11.7</v>
      </c>
      <c r="N53" s="3">
        <v>14.4</v>
      </c>
      <c r="O53" s="39">
        <f>MAX(F53:G53)/N53</f>
        <v>1.9097222222222221</v>
      </c>
      <c r="P53" s="39">
        <f t="shared" si="20"/>
        <v>2.5277777777777777</v>
      </c>
      <c r="Q53" s="39">
        <f t="shared" si="21"/>
        <v>1</v>
      </c>
      <c r="R53" s="39">
        <f t="shared" si="22"/>
        <v>0.86458333333333326</v>
      </c>
    </row>
    <row r="54" spans="4:18" ht="15" x14ac:dyDescent="0.2">
      <c r="D54" s="20">
        <v>12</v>
      </c>
      <c r="E54" s="39" t="s">
        <v>123</v>
      </c>
      <c r="F54" s="39">
        <f t="shared" si="23"/>
        <v>0</v>
      </c>
      <c r="G54" s="39">
        <f t="shared" si="24"/>
        <v>4.7000000000000002E-3</v>
      </c>
      <c r="H54" s="39">
        <f t="shared" si="25"/>
        <v>0</v>
      </c>
      <c r="I54" s="39">
        <f t="shared" si="26"/>
        <v>0</v>
      </c>
      <c r="J54" s="39">
        <f t="shared" si="27"/>
        <v>0</v>
      </c>
      <c r="K54" s="39">
        <f t="shared" si="28"/>
        <v>0</v>
      </c>
      <c r="L54" s="39">
        <f t="shared" si="29"/>
        <v>0</v>
      </c>
      <c r="M54" s="39">
        <f t="shared" si="30"/>
        <v>0</v>
      </c>
      <c r="N54" s="3">
        <v>0.19</v>
      </c>
      <c r="O54" s="39">
        <f t="shared" si="31"/>
        <v>2.4736842105263158E-2</v>
      </c>
      <c r="P54" s="39">
        <f t="shared" si="20"/>
        <v>2.4736842105263158E-2</v>
      </c>
      <c r="Q54" s="39">
        <f t="shared" si="21"/>
        <v>0</v>
      </c>
      <c r="R54" s="39">
        <f t="shared" si="22"/>
        <v>0</v>
      </c>
    </row>
    <row r="55" spans="4:18" ht="15" x14ac:dyDescent="0.2">
      <c r="D55" s="20">
        <v>13</v>
      </c>
      <c r="E55" s="39" t="s">
        <v>124</v>
      </c>
      <c r="F55" s="39">
        <f t="shared" si="23"/>
        <v>0</v>
      </c>
      <c r="G55" s="39">
        <f t="shared" si="24"/>
        <v>2.1249999999999998E-2</v>
      </c>
      <c r="H55" s="39">
        <f t="shared" si="25"/>
        <v>0</v>
      </c>
      <c r="I55" s="39">
        <f t="shared" si="26"/>
        <v>0</v>
      </c>
      <c r="J55" s="39">
        <f t="shared" si="27"/>
        <v>0</v>
      </c>
      <c r="K55" s="39">
        <f t="shared" si="28"/>
        <v>0</v>
      </c>
      <c r="L55" s="39">
        <f t="shared" si="29"/>
        <v>0</v>
      </c>
      <c r="M55" s="39">
        <f t="shared" si="30"/>
        <v>0</v>
      </c>
      <c r="N55" s="3">
        <v>6.5</v>
      </c>
      <c r="O55" s="39">
        <f t="shared" si="31"/>
        <v>3.2692307692307691E-3</v>
      </c>
      <c r="P55" s="39">
        <f t="shared" si="20"/>
        <v>3.2692307692307691E-3</v>
      </c>
      <c r="Q55" s="39">
        <f t="shared" si="21"/>
        <v>0</v>
      </c>
      <c r="R55" s="39">
        <f t="shared" si="22"/>
        <v>0</v>
      </c>
    </row>
    <row r="56" spans="4:18" ht="15" x14ac:dyDescent="0.2">
      <c r="D56" s="20">
        <v>14</v>
      </c>
      <c r="E56" s="39" t="s">
        <v>125</v>
      </c>
      <c r="F56" s="39">
        <f t="shared" si="23"/>
        <v>2.4500000000000002</v>
      </c>
      <c r="G56" s="39">
        <f t="shared" si="24"/>
        <v>3.18</v>
      </c>
      <c r="H56" s="39">
        <f t="shared" si="25"/>
        <v>0.88000000000000012</v>
      </c>
      <c r="I56" s="39">
        <f t="shared" si="26"/>
        <v>2.9950000000000001</v>
      </c>
      <c r="J56" s="39">
        <f t="shared" si="27"/>
        <v>0.88500000000000001</v>
      </c>
      <c r="K56" s="39">
        <f t="shared" si="28"/>
        <v>1.2849999999999999</v>
      </c>
      <c r="L56" s="39">
        <f t="shared" si="29"/>
        <v>0.9</v>
      </c>
      <c r="M56" s="39">
        <f t="shared" si="30"/>
        <v>0.74</v>
      </c>
      <c r="N56" s="3">
        <v>20</v>
      </c>
      <c r="O56" s="39">
        <f t="shared" si="31"/>
        <v>0.159</v>
      </c>
      <c r="P56" s="39">
        <f t="shared" si="20"/>
        <v>0.159</v>
      </c>
      <c r="Q56" s="39">
        <f t="shared" si="21"/>
        <v>6.4250000000000002E-2</v>
      </c>
      <c r="R56" s="39">
        <f t="shared" si="22"/>
        <v>4.4999999999999998E-2</v>
      </c>
    </row>
    <row r="57" spans="4:18" ht="15" x14ac:dyDescent="0.2">
      <c r="D57" s="20">
        <v>15</v>
      </c>
      <c r="E57" s="39" t="s">
        <v>126</v>
      </c>
      <c r="F57" s="39">
        <f t="shared" si="23"/>
        <v>0</v>
      </c>
      <c r="G57" s="39">
        <f t="shared" si="24"/>
        <v>0</v>
      </c>
      <c r="H57" s="39">
        <f t="shared" si="25"/>
        <v>0</v>
      </c>
      <c r="I57" s="39">
        <f t="shared" si="26"/>
        <v>0</v>
      </c>
      <c r="J57" s="39">
        <f t="shared" si="27"/>
        <v>0</v>
      </c>
      <c r="K57" s="39">
        <f t="shared" si="28"/>
        <v>0</v>
      </c>
      <c r="L57" s="39">
        <f t="shared" si="29"/>
        <v>0</v>
      </c>
      <c r="M57" s="39">
        <f t="shared" si="30"/>
        <v>0</v>
      </c>
      <c r="N57" s="3">
        <v>2.4</v>
      </c>
      <c r="O57" s="39">
        <f t="shared" si="31"/>
        <v>0</v>
      </c>
      <c r="P57" s="39">
        <f t="shared" si="20"/>
        <v>0</v>
      </c>
      <c r="Q57" s="39">
        <f t="shared" si="21"/>
        <v>0</v>
      </c>
      <c r="R57" s="39">
        <f t="shared" si="22"/>
        <v>0</v>
      </c>
    </row>
    <row r="58" spans="4:18" ht="15" x14ac:dyDescent="0.2">
      <c r="D58" s="20">
        <v>16</v>
      </c>
      <c r="E58" s="39" t="s">
        <v>127</v>
      </c>
      <c r="F58" s="39">
        <f t="shared" si="23"/>
        <v>0.1085</v>
      </c>
      <c r="G58" s="39">
        <f t="shared" si="24"/>
        <v>0.11299999999999999</v>
      </c>
      <c r="H58" s="39">
        <f t="shared" si="25"/>
        <v>0.10249999999999999</v>
      </c>
      <c r="I58" s="39">
        <f t="shared" si="26"/>
        <v>9.0499999999999997E-2</v>
      </c>
      <c r="J58" s="39">
        <f t="shared" si="27"/>
        <v>0</v>
      </c>
      <c r="K58" s="39">
        <f t="shared" si="28"/>
        <v>0</v>
      </c>
      <c r="L58" s="39">
        <f t="shared" si="29"/>
        <v>0</v>
      </c>
      <c r="M58" s="39">
        <f t="shared" si="30"/>
        <v>0</v>
      </c>
      <c r="N58" s="3">
        <v>5.6</v>
      </c>
      <c r="O58" s="39">
        <f t="shared" si="31"/>
        <v>2.0178571428571428E-2</v>
      </c>
      <c r="P58" s="39">
        <f t="shared" si="20"/>
        <v>2.0178571428571428E-2</v>
      </c>
      <c r="Q58" s="39">
        <f t="shared" si="21"/>
        <v>0</v>
      </c>
      <c r="R58" s="39">
        <f t="shared" si="22"/>
        <v>0</v>
      </c>
    </row>
    <row r="59" spans="4:18" ht="15" x14ac:dyDescent="0.2">
      <c r="D59" s="20">
        <v>17</v>
      </c>
      <c r="E59" s="39" t="s">
        <v>1</v>
      </c>
      <c r="F59" s="39">
        <f t="shared" si="23"/>
        <v>134</v>
      </c>
      <c r="G59" s="39">
        <f t="shared" si="24"/>
        <v>0</v>
      </c>
      <c r="H59" s="39">
        <f t="shared" si="25"/>
        <v>0</v>
      </c>
      <c r="I59" s="39">
        <f t="shared" si="26"/>
        <v>0</v>
      </c>
      <c r="J59" s="39">
        <f t="shared" si="27"/>
        <v>0</v>
      </c>
      <c r="K59" s="39">
        <f t="shared" si="28"/>
        <v>0</v>
      </c>
      <c r="L59" s="39">
        <f t="shared" si="29"/>
        <v>0</v>
      </c>
      <c r="M59" s="39">
        <f t="shared" si="30"/>
        <v>0</v>
      </c>
      <c r="N59" s="3">
        <v>28</v>
      </c>
      <c r="O59" s="39">
        <f t="shared" si="31"/>
        <v>4.7857142857142856</v>
      </c>
      <c r="P59" s="39">
        <f t="shared" si="20"/>
        <v>0</v>
      </c>
      <c r="Q59" s="39">
        <f t="shared" si="21"/>
        <v>0</v>
      </c>
      <c r="R59" s="39">
        <f t="shared" si="22"/>
        <v>0</v>
      </c>
    </row>
    <row r="60" spans="4:18" ht="15" x14ac:dyDescent="0.2">
      <c r="D60" s="20">
        <v>18</v>
      </c>
      <c r="E60" s="39" t="s">
        <v>0</v>
      </c>
      <c r="F60" s="39">
        <f t="shared" si="23"/>
        <v>0</v>
      </c>
      <c r="G60" s="39">
        <f t="shared" si="24"/>
        <v>0</v>
      </c>
      <c r="H60" s="39">
        <f t="shared" si="25"/>
        <v>0</v>
      </c>
      <c r="I60" s="39">
        <f t="shared" si="26"/>
        <v>0</v>
      </c>
      <c r="J60" s="39">
        <f t="shared" si="27"/>
        <v>0</v>
      </c>
      <c r="K60" s="39">
        <f t="shared" si="28"/>
        <v>0</v>
      </c>
      <c r="L60" s="39">
        <f t="shared" si="29"/>
        <v>0</v>
      </c>
      <c r="M60" s="39">
        <f t="shared" si="30"/>
        <v>0</v>
      </c>
      <c r="N60" s="3">
        <v>170</v>
      </c>
      <c r="O60" s="39">
        <f t="shared" si="31"/>
        <v>0</v>
      </c>
      <c r="P60" s="39">
        <f t="shared" si="20"/>
        <v>0</v>
      </c>
      <c r="Q60" s="39">
        <f t="shared" si="21"/>
        <v>0</v>
      </c>
      <c r="R60" s="39">
        <f t="shared" si="22"/>
        <v>0</v>
      </c>
    </row>
    <row r="61" spans="4:18" ht="16" x14ac:dyDescent="0.2">
      <c r="E61" s="95" t="s">
        <v>99</v>
      </c>
      <c r="F61" s="97" t="s">
        <v>128</v>
      </c>
      <c r="G61" s="98"/>
      <c r="H61" s="98"/>
      <c r="I61" s="98"/>
      <c r="J61" s="98"/>
      <c r="K61" s="98"/>
      <c r="L61" s="98"/>
      <c r="M61" s="99"/>
      <c r="N61" s="59" t="s">
        <v>104</v>
      </c>
      <c r="O61" s="47" t="s">
        <v>105</v>
      </c>
      <c r="P61" s="48" t="s">
        <v>106</v>
      </c>
      <c r="Q61" s="48" t="s">
        <v>107</v>
      </c>
      <c r="R61" s="49" t="s">
        <v>108</v>
      </c>
    </row>
    <row r="62" spans="4:18" ht="15" x14ac:dyDescent="0.2">
      <c r="E62" s="96"/>
      <c r="F62" s="50">
        <v>50</v>
      </c>
      <c r="G62" s="51">
        <v>50</v>
      </c>
      <c r="H62" s="51">
        <v>50</v>
      </c>
      <c r="I62" s="51">
        <v>50</v>
      </c>
      <c r="J62" s="51">
        <v>50</v>
      </c>
      <c r="K62" s="51">
        <v>50</v>
      </c>
      <c r="L62" s="51">
        <v>50</v>
      </c>
      <c r="M62" s="52">
        <v>50</v>
      </c>
      <c r="N62" s="60" t="s">
        <v>113</v>
      </c>
      <c r="O62" s="47" t="s">
        <v>27</v>
      </c>
      <c r="P62" s="48" t="s">
        <v>27</v>
      </c>
      <c r="Q62" s="48" t="s">
        <v>27</v>
      </c>
      <c r="R62" s="49" t="s">
        <v>27</v>
      </c>
    </row>
    <row r="63" spans="4:18" ht="15" x14ac:dyDescent="0.2">
      <c r="D63" s="20">
        <v>1</v>
      </c>
      <c r="E63" s="39" t="s">
        <v>114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f>L3/$L$62</f>
        <v>5.3199999999999992E-4</v>
      </c>
      <c r="M63" s="39">
        <v>0</v>
      </c>
      <c r="N63" s="7">
        <v>5.7000000000000002E-2</v>
      </c>
      <c r="O63" s="39">
        <f>MAX(F63:G63)/N63</f>
        <v>0</v>
      </c>
      <c r="P63" s="39">
        <f>MAX(G63:H63)/N63</f>
        <v>0</v>
      </c>
      <c r="Q63" s="39">
        <f>MAX(J63:K63)/N63</f>
        <v>0</v>
      </c>
      <c r="R63" s="39">
        <f>MAX(L63:M63)/N63</f>
        <v>9.3333333333333324E-3</v>
      </c>
    </row>
    <row r="64" spans="4:18" ht="15" x14ac:dyDescent="0.2">
      <c r="D64" s="20">
        <v>2</v>
      </c>
      <c r="E64" s="39" t="s">
        <v>115</v>
      </c>
      <c r="F64" s="39">
        <f>F4/$F$62</f>
        <v>0.27800000000000002</v>
      </c>
      <c r="G64" s="39">
        <f>G4/$G$62</f>
        <v>0.34200000000000003</v>
      </c>
      <c r="H64" s="39">
        <f>H4/$H$62</f>
        <v>0.32799999999999996</v>
      </c>
      <c r="I64" s="39">
        <f>I4/$I$62</f>
        <v>0.35600000000000004</v>
      </c>
      <c r="J64" s="39">
        <f>J4/$J$62</f>
        <v>0.1192</v>
      </c>
      <c r="K64" s="39">
        <f>K4/$K$62</f>
        <v>0.1208</v>
      </c>
      <c r="L64" s="39">
        <f>L4/$L$62</f>
        <v>8.1199999999999994E-2</v>
      </c>
      <c r="M64" s="39">
        <f>M4/$M$62</f>
        <v>7.0199999999999999E-2</v>
      </c>
      <c r="N64" s="7">
        <v>114.7</v>
      </c>
      <c r="O64" s="39">
        <f t="shared" ref="O64:O80" si="32">MAX(F64:G64)/N64</f>
        <v>2.9816913687881431E-3</v>
      </c>
      <c r="P64" s="39">
        <f t="shared" ref="P64:P80" si="33">MAX(G64:H64)/N64</f>
        <v>2.9816913687881431E-3</v>
      </c>
      <c r="Q64" s="39">
        <f t="shared" ref="Q64:Q80" si="34">MAX(J64:K64)/N64</f>
        <v>1.0531822144725371E-3</v>
      </c>
      <c r="R64" s="39">
        <f t="shared" ref="R64:R80" si="35">MAX(L64:M64)/N64</f>
        <v>7.0793374019180466E-4</v>
      </c>
    </row>
    <row r="65" spans="4:18" ht="15" x14ac:dyDescent="0.2">
      <c r="D65" s="20">
        <v>3</v>
      </c>
      <c r="E65" s="39" t="s">
        <v>116</v>
      </c>
      <c r="F65" s="39">
        <f t="shared" ref="F65:F80" si="36">F5/$F$62</f>
        <v>1.1200000000000001</v>
      </c>
      <c r="G65" s="39">
        <f t="shared" ref="G65:G80" si="37">G5/$G$62</f>
        <v>1.18</v>
      </c>
      <c r="H65" s="39">
        <f t="shared" ref="H65:H80" si="38">H5/$H$62</f>
        <v>1.18</v>
      </c>
      <c r="I65" s="39">
        <f t="shared" ref="I65:I80" si="39">I5/$I$62</f>
        <v>1.32</v>
      </c>
      <c r="J65" s="39">
        <f t="shared" ref="J65:J80" si="40">J5/$J$62</f>
        <v>0.66</v>
      </c>
      <c r="K65" s="39">
        <f t="shared" ref="K65:K80" si="41">K5/$K$62</f>
        <v>0.6</v>
      </c>
      <c r="L65" s="39">
        <f t="shared" ref="L65:L80" si="42">L5/$L$62</f>
        <v>0</v>
      </c>
      <c r="M65" s="39">
        <f t="shared" ref="M65:M80" si="43">M5/$M$62</f>
        <v>0</v>
      </c>
      <c r="N65" s="6">
        <v>2900</v>
      </c>
      <c r="O65" s="39">
        <f t="shared" si="32"/>
        <v>4.0689655172413791E-4</v>
      </c>
      <c r="P65" s="39">
        <f t="shared" si="33"/>
        <v>4.0689655172413791E-4</v>
      </c>
      <c r="Q65" s="39">
        <f t="shared" si="34"/>
        <v>2.2758620689655173E-4</v>
      </c>
      <c r="R65" s="39">
        <f t="shared" si="35"/>
        <v>0</v>
      </c>
    </row>
    <row r="66" spans="4:18" ht="15" x14ac:dyDescent="0.2">
      <c r="D66" s="20">
        <v>4</v>
      </c>
      <c r="E66" s="39" t="s">
        <v>117</v>
      </c>
      <c r="F66" s="39">
        <f t="shared" si="36"/>
        <v>4.8000000000000001E-2</v>
      </c>
      <c r="G66" s="39">
        <f t="shared" si="37"/>
        <v>0.05</v>
      </c>
      <c r="H66" s="39">
        <f t="shared" si="38"/>
        <v>6.4000000000000001E-2</v>
      </c>
      <c r="I66" s="39">
        <f t="shared" si="39"/>
        <v>5.3800000000000001E-2</v>
      </c>
      <c r="J66" s="39">
        <f t="shared" si="40"/>
        <v>1.3600000000000001E-2</v>
      </c>
      <c r="K66" s="39">
        <f t="shared" si="41"/>
        <v>1.24E-2</v>
      </c>
      <c r="L66" s="39">
        <f t="shared" si="42"/>
        <v>0</v>
      </c>
      <c r="M66" s="39">
        <f t="shared" si="43"/>
        <v>0</v>
      </c>
      <c r="N66" s="3">
        <v>1.06</v>
      </c>
      <c r="O66" s="39">
        <f t="shared" si="32"/>
        <v>4.716981132075472E-2</v>
      </c>
      <c r="P66" s="39">
        <f t="shared" si="33"/>
        <v>6.0377358490566038E-2</v>
      </c>
      <c r="Q66" s="39">
        <f t="shared" si="34"/>
        <v>1.2830188679245283E-2</v>
      </c>
      <c r="R66" s="39">
        <f t="shared" si="35"/>
        <v>0</v>
      </c>
    </row>
    <row r="67" spans="4:18" ht="15" x14ac:dyDescent="0.2">
      <c r="D67" s="20">
        <v>5</v>
      </c>
      <c r="E67" s="39" t="s">
        <v>118</v>
      </c>
      <c r="F67" s="39">
        <f t="shared" si="36"/>
        <v>1.1320000000000001</v>
      </c>
      <c r="G67" s="39">
        <f t="shared" si="37"/>
        <v>0.52400000000000002</v>
      </c>
      <c r="H67" s="39">
        <f t="shared" si="38"/>
        <v>0.55799999999999994</v>
      </c>
      <c r="I67" s="39">
        <f t="shared" si="39"/>
        <v>0.46600000000000003</v>
      </c>
      <c r="J67" s="39">
        <f t="shared" si="40"/>
        <v>0.72400000000000009</v>
      </c>
      <c r="K67" s="39">
        <f t="shared" si="41"/>
        <v>0.504</v>
      </c>
      <c r="L67" s="39">
        <f t="shared" si="42"/>
        <v>0.21</v>
      </c>
      <c r="M67" s="39">
        <f t="shared" si="43"/>
        <v>0.214</v>
      </c>
      <c r="N67" s="3">
        <v>6.3</v>
      </c>
      <c r="O67" s="39">
        <f t="shared" si="32"/>
        <v>0.17968253968253969</v>
      </c>
      <c r="P67" s="39">
        <f t="shared" si="33"/>
        <v>8.8571428571428565E-2</v>
      </c>
      <c r="Q67" s="39">
        <f t="shared" si="34"/>
        <v>0.11492063492063494</v>
      </c>
      <c r="R67" s="39">
        <f t="shared" si="35"/>
        <v>3.3968253968253967E-2</v>
      </c>
    </row>
    <row r="68" spans="4:18" ht="15" x14ac:dyDescent="0.2">
      <c r="D68" s="20">
        <v>6</v>
      </c>
      <c r="E68" s="39" t="s">
        <v>16</v>
      </c>
      <c r="F68" s="39">
        <f t="shared" si="36"/>
        <v>4.8000000000000001E-2</v>
      </c>
      <c r="G68" s="39">
        <f t="shared" si="37"/>
        <v>5.2000000000000005E-2</v>
      </c>
      <c r="H68" s="39">
        <f t="shared" si="38"/>
        <v>0</v>
      </c>
      <c r="I68" s="39">
        <f t="shared" si="39"/>
        <v>0</v>
      </c>
      <c r="J68" s="39">
        <f t="shared" si="40"/>
        <v>0</v>
      </c>
      <c r="K68" s="39">
        <f t="shared" si="41"/>
        <v>0</v>
      </c>
      <c r="L68" s="39">
        <f t="shared" si="42"/>
        <v>0</v>
      </c>
      <c r="M68" s="39">
        <f t="shared" si="43"/>
        <v>0</v>
      </c>
      <c r="N68" s="3">
        <v>1650</v>
      </c>
      <c r="O68" s="39">
        <f t="shared" si="32"/>
        <v>3.1515151515151519E-5</v>
      </c>
      <c r="P68" s="39">
        <f t="shared" si="33"/>
        <v>3.1515151515151519E-5</v>
      </c>
      <c r="Q68" s="39">
        <f t="shared" si="34"/>
        <v>0</v>
      </c>
      <c r="R68" s="39">
        <f t="shared" si="35"/>
        <v>0</v>
      </c>
    </row>
    <row r="69" spans="4:18" ht="15" x14ac:dyDescent="0.2">
      <c r="D69" s="20">
        <v>7</v>
      </c>
      <c r="E69" s="39" t="s">
        <v>119</v>
      </c>
      <c r="F69" s="39">
        <f t="shared" si="36"/>
        <v>5.42</v>
      </c>
      <c r="G69" s="39">
        <f t="shared" si="37"/>
        <v>6.82</v>
      </c>
      <c r="H69" s="39">
        <f t="shared" si="38"/>
        <v>7.92</v>
      </c>
      <c r="I69" s="39">
        <f t="shared" si="39"/>
        <v>8.26</v>
      </c>
      <c r="J69" s="39">
        <f t="shared" si="40"/>
        <v>2.2599999999999998</v>
      </c>
      <c r="K69" s="39">
        <f t="shared" si="41"/>
        <v>2.36</v>
      </c>
      <c r="L69" s="39">
        <f t="shared" si="42"/>
        <v>1.1040000000000001</v>
      </c>
      <c r="M69" s="39">
        <f t="shared" si="43"/>
        <v>1.1279999999999999</v>
      </c>
      <c r="N69" s="3">
        <v>34</v>
      </c>
      <c r="O69" s="39">
        <f t="shared" si="32"/>
        <v>0.20058823529411765</v>
      </c>
      <c r="P69" s="39">
        <f t="shared" si="33"/>
        <v>0.23294117647058823</v>
      </c>
      <c r="Q69" s="39">
        <f t="shared" si="34"/>
        <v>6.9411764705882353E-2</v>
      </c>
      <c r="R69" s="39">
        <f t="shared" si="35"/>
        <v>3.3176470588235293E-2</v>
      </c>
    </row>
    <row r="70" spans="4:18" ht="15" x14ac:dyDescent="0.2">
      <c r="D70" s="20">
        <v>8</v>
      </c>
      <c r="E70" s="39" t="s">
        <v>120</v>
      </c>
      <c r="F70" s="39">
        <f t="shared" si="36"/>
        <v>0</v>
      </c>
      <c r="G70" s="39">
        <f t="shared" si="37"/>
        <v>0</v>
      </c>
      <c r="H70" s="39">
        <f t="shared" si="38"/>
        <v>0</v>
      </c>
      <c r="I70" s="39">
        <f t="shared" si="39"/>
        <v>0</v>
      </c>
      <c r="J70" s="39">
        <f t="shared" si="40"/>
        <v>0</v>
      </c>
      <c r="K70" s="39">
        <f t="shared" si="41"/>
        <v>0</v>
      </c>
      <c r="L70" s="39">
        <f t="shared" si="42"/>
        <v>0</v>
      </c>
      <c r="M70" s="39">
        <f t="shared" si="43"/>
        <v>0</v>
      </c>
      <c r="N70" s="3">
        <v>11900</v>
      </c>
      <c r="O70" s="39">
        <f t="shared" si="32"/>
        <v>0</v>
      </c>
      <c r="P70" s="39">
        <f t="shared" si="33"/>
        <v>0</v>
      </c>
      <c r="Q70" s="39">
        <f t="shared" si="34"/>
        <v>0</v>
      </c>
      <c r="R70" s="39">
        <f t="shared" si="35"/>
        <v>0</v>
      </c>
    </row>
    <row r="71" spans="4:18" ht="15" x14ac:dyDescent="0.2">
      <c r="D71" s="20">
        <v>9</v>
      </c>
      <c r="E71" s="39" t="s">
        <v>11</v>
      </c>
      <c r="F71" s="39">
        <f t="shared" si="36"/>
        <v>1.004</v>
      </c>
      <c r="G71" s="39">
        <f t="shared" si="37"/>
        <v>1.3119999999999998</v>
      </c>
      <c r="H71" s="39">
        <f t="shared" si="38"/>
        <v>2.08</v>
      </c>
      <c r="I71" s="39">
        <f t="shared" si="39"/>
        <v>2.12</v>
      </c>
      <c r="J71" s="39">
        <f t="shared" si="40"/>
        <v>1.044</v>
      </c>
      <c r="K71" s="39">
        <f t="shared" si="41"/>
        <v>1.0659999999999998</v>
      </c>
      <c r="L71" s="39">
        <f t="shared" si="42"/>
        <v>0.94200000000000006</v>
      </c>
      <c r="M71" s="39">
        <f t="shared" si="43"/>
        <v>0.9</v>
      </c>
      <c r="N71" s="3">
        <v>37</v>
      </c>
      <c r="O71" s="39">
        <f t="shared" si="32"/>
        <v>3.5459459459459455E-2</v>
      </c>
      <c r="P71" s="39">
        <f t="shared" si="33"/>
        <v>5.6216216216216218E-2</v>
      </c>
      <c r="Q71" s="39">
        <f t="shared" si="34"/>
        <v>2.8810810810810807E-2</v>
      </c>
      <c r="R71" s="39">
        <f t="shared" si="35"/>
        <v>2.545945945945946E-2</v>
      </c>
    </row>
    <row r="72" spans="4:18" ht="15" x14ac:dyDescent="0.2">
      <c r="D72" s="20">
        <v>10</v>
      </c>
      <c r="E72" s="39" t="s">
        <v>121</v>
      </c>
      <c r="F72" s="39">
        <f t="shared" si="36"/>
        <v>0</v>
      </c>
      <c r="G72" s="39">
        <f t="shared" si="37"/>
        <v>0.02</v>
      </c>
      <c r="H72" s="39">
        <f t="shared" si="38"/>
        <v>0</v>
      </c>
      <c r="I72" s="39">
        <f t="shared" si="39"/>
        <v>0</v>
      </c>
      <c r="J72" s="39">
        <f t="shared" si="40"/>
        <v>0</v>
      </c>
      <c r="K72" s="39">
        <f t="shared" si="41"/>
        <v>0</v>
      </c>
      <c r="L72" s="39">
        <f t="shared" si="42"/>
        <v>0</v>
      </c>
      <c r="M72" s="39">
        <f t="shared" si="43"/>
        <v>0</v>
      </c>
      <c r="N72" s="3">
        <v>4.0999999999999996</v>
      </c>
      <c r="O72" s="39">
        <f t="shared" si="32"/>
        <v>4.8780487804878057E-3</v>
      </c>
      <c r="P72" s="39">
        <f t="shared" si="33"/>
        <v>4.8780487804878057E-3</v>
      </c>
      <c r="Q72" s="39">
        <f t="shared" si="34"/>
        <v>0</v>
      </c>
      <c r="R72" s="39">
        <f t="shared" si="35"/>
        <v>0</v>
      </c>
    </row>
    <row r="73" spans="4:18" ht="15" x14ac:dyDescent="0.2">
      <c r="D73" s="20">
        <v>11</v>
      </c>
      <c r="E73" s="39" t="s">
        <v>122</v>
      </c>
      <c r="F73" s="39">
        <f t="shared" si="36"/>
        <v>7.88</v>
      </c>
      <c r="G73" s="39">
        <f t="shared" si="37"/>
        <v>11</v>
      </c>
      <c r="H73" s="39">
        <f t="shared" si="38"/>
        <v>14.56</v>
      </c>
      <c r="I73" s="39">
        <f t="shared" si="39"/>
        <v>15.46</v>
      </c>
      <c r="J73" s="39">
        <f t="shared" si="40"/>
        <v>5.72</v>
      </c>
      <c r="K73" s="39">
        <f t="shared" si="41"/>
        <v>5.76</v>
      </c>
      <c r="L73" s="39">
        <f t="shared" si="42"/>
        <v>4.9800000000000004</v>
      </c>
      <c r="M73" s="39">
        <f t="shared" si="43"/>
        <v>4.68</v>
      </c>
      <c r="N73" s="3">
        <v>14.4</v>
      </c>
      <c r="O73" s="39">
        <f t="shared" si="32"/>
        <v>0.76388888888888884</v>
      </c>
      <c r="P73" s="39">
        <f t="shared" si="33"/>
        <v>1.0111111111111111</v>
      </c>
      <c r="Q73" s="39">
        <f t="shared" si="34"/>
        <v>0.39999999999999997</v>
      </c>
      <c r="R73" s="39">
        <f t="shared" si="35"/>
        <v>0.34583333333333338</v>
      </c>
    </row>
    <row r="74" spans="4:18" ht="15" x14ac:dyDescent="0.2">
      <c r="D74" s="20">
        <v>12</v>
      </c>
      <c r="E74" s="39" t="s">
        <v>123</v>
      </c>
      <c r="F74" s="39">
        <f t="shared" si="36"/>
        <v>0</v>
      </c>
      <c r="G74" s="39">
        <f t="shared" si="37"/>
        <v>1.8799999999999999E-3</v>
      </c>
      <c r="H74" s="39">
        <f t="shared" si="38"/>
        <v>0</v>
      </c>
      <c r="I74" s="39">
        <f t="shared" si="39"/>
        <v>0</v>
      </c>
      <c r="J74" s="39">
        <f t="shared" si="40"/>
        <v>0</v>
      </c>
      <c r="K74" s="39">
        <f t="shared" si="41"/>
        <v>0</v>
      </c>
      <c r="L74" s="39">
        <f t="shared" si="42"/>
        <v>0</v>
      </c>
      <c r="M74" s="39">
        <f t="shared" si="43"/>
        <v>0</v>
      </c>
      <c r="N74" s="3">
        <v>0.19</v>
      </c>
      <c r="O74" s="39">
        <f t="shared" si="32"/>
        <v>9.8947368421052635E-3</v>
      </c>
      <c r="P74" s="39">
        <f t="shared" si="33"/>
        <v>9.8947368421052635E-3</v>
      </c>
      <c r="Q74" s="39">
        <f t="shared" si="34"/>
        <v>0</v>
      </c>
      <c r="R74" s="39">
        <f t="shared" si="35"/>
        <v>0</v>
      </c>
    </row>
    <row r="75" spans="4:18" ht="15" x14ac:dyDescent="0.2">
      <c r="D75" s="20">
        <v>13</v>
      </c>
      <c r="E75" s="39" t="s">
        <v>124</v>
      </c>
      <c r="F75" s="39">
        <f t="shared" si="36"/>
        <v>0</v>
      </c>
      <c r="G75" s="39">
        <f t="shared" si="37"/>
        <v>8.5000000000000006E-3</v>
      </c>
      <c r="H75" s="39">
        <f t="shared" si="38"/>
        <v>0</v>
      </c>
      <c r="I75" s="39">
        <f t="shared" si="39"/>
        <v>0</v>
      </c>
      <c r="J75" s="39">
        <f t="shared" si="40"/>
        <v>0</v>
      </c>
      <c r="K75" s="39">
        <f t="shared" si="41"/>
        <v>0</v>
      </c>
      <c r="L75" s="39">
        <f t="shared" si="42"/>
        <v>0</v>
      </c>
      <c r="M75" s="39">
        <f t="shared" si="43"/>
        <v>0</v>
      </c>
      <c r="N75" s="3">
        <v>6.5</v>
      </c>
      <c r="O75" s="39">
        <f t="shared" si="32"/>
        <v>1.3076923076923079E-3</v>
      </c>
      <c r="P75" s="39">
        <f t="shared" si="33"/>
        <v>1.3076923076923079E-3</v>
      </c>
      <c r="Q75" s="39">
        <f t="shared" si="34"/>
        <v>0</v>
      </c>
      <c r="R75" s="39">
        <f t="shared" si="35"/>
        <v>0</v>
      </c>
    </row>
    <row r="76" spans="4:18" ht="15" x14ac:dyDescent="0.2">
      <c r="D76" s="20">
        <v>14</v>
      </c>
      <c r="E76" s="39" t="s">
        <v>125</v>
      </c>
      <c r="F76" s="39">
        <f t="shared" si="36"/>
        <v>0.98</v>
      </c>
      <c r="G76" s="39">
        <f t="shared" si="37"/>
        <v>1.272</v>
      </c>
      <c r="H76" s="39">
        <f t="shared" si="38"/>
        <v>0.35200000000000004</v>
      </c>
      <c r="I76" s="39">
        <f t="shared" si="39"/>
        <v>1.198</v>
      </c>
      <c r="J76" s="39">
        <f t="shared" si="40"/>
        <v>0.35399999999999998</v>
      </c>
      <c r="K76" s="39">
        <f t="shared" si="41"/>
        <v>0.51400000000000001</v>
      </c>
      <c r="L76" s="39">
        <f t="shared" si="42"/>
        <v>0.36</v>
      </c>
      <c r="M76" s="39">
        <f t="shared" si="43"/>
        <v>0.29600000000000004</v>
      </c>
      <c r="N76" s="3">
        <v>20</v>
      </c>
      <c r="O76" s="39">
        <f t="shared" si="32"/>
        <v>6.3600000000000004E-2</v>
      </c>
      <c r="P76" s="39">
        <f t="shared" si="33"/>
        <v>6.3600000000000004E-2</v>
      </c>
      <c r="Q76" s="39">
        <f t="shared" si="34"/>
        <v>2.5700000000000001E-2</v>
      </c>
      <c r="R76" s="39">
        <f t="shared" si="35"/>
        <v>1.7999999999999999E-2</v>
      </c>
    </row>
    <row r="77" spans="4:18" ht="15" x14ac:dyDescent="0.2">
      <c r="D77" s="20">
        <v>15</v>
      </c>
      <c r="E77" s="39" t="s">
        <v>126</v>
      </c>
      <c r="F77" s="39">
        <f t="shared" si="36"/>
        <v>0</v>
      </c>
      <c r="G77" s="39">
        <f t="shared" si="37"/>
        <v>0</v>
      </c>
      <c r="H77" s="39">
        <f t="shared" si="38"/>
        <v>0</v>
      </c>
      <c r="I77" s="39">
        <f t="shared" si="39"/>
        <v>0</v>
      </c>
      <c r="J77" s="39">
        <f t="shared" si="40"/>
        <v>0</v>
      </c>
      <c r="K77" s="39">
        <f t="shared" si="41"/>
        <v>0</v>
      </c>
      <c r="L77" s="39">
        <f t="shared" si="42"/>
        <v>0</v>
      </c>
      <c r="M77" s="39">
        <f t="shared" si="43"/>
        <v>0</v>
      </c>
      <c r="N77" s="3">
        <v>2.4</v>
      </c>
      <c r="O77" s="39">
        <f t="shared" si="32"/>
        <v>0</v>
      </c>
      <c r="P77" s="39">
        <f t="shared" si="33"/>
        <v>0</v>
      </c>
      <c r="Q77" s="39">
        <f t="shared" si="34"/>
        <v>0</v>
      </c>
      <c r="R77" s="39">
        <f t="shared" si="35"/>
        <v>0</v>
      </c>
    </row>
    <row r="78" spans="4:18" ht="15" x14ac:dyDescent="0.2">
      <c r="D78" s="20">
        <v>16</v>
      </c>
      <c r="E78" s="39" t="s">
        <v>127</v>
      </c>
      <c r="F78" s="39">
        <f t="shared" si="36"/>
        <v>4.3400000000000001E-2</v>
      </c>
      <c r="G78" s="39">
        <f t="shared" si="37"/>
        <v>4.5199999999999997E-2</v>
      </c>
      <c r="H78" s="39">
        <f t="shared" si="38"/>
        <v>4.0999999999999995E-2</v>
      </c>
      <c r="I78" s="39">
        <f t="shared" si="39"/>
        <v>3.6200000000000003E-2</v>
      </c>
      <c r="J78" s="39">
        <f t="shared" si="40"/>
        <v>0</v>
      </c>
      <c r="K78" s="39">
        <f t="shared" si="41"/>
        <v>0</v>
      </c>
      <c r="L78" s="39">
        <f t="shared" si="42"/>
        <v>0</v>
      </c>
      <c r="M78" s="39">
        <f t="shared" si="43"/>
        <v>0</v>
      </c>
      <c r="N78" s="3">
        <v>5.6</v>
      </c>
      <c r="O78" s="39">
        <f t="shared" si="32"/>
        <v>8.0714285714285714E-3</v>
      </c>
      <c r="P78" s="39">
        <f t="shared" si="33"/>
        <v>8.0714285714285714E-3</v>
      </c>
      <c r="Q78" s="39">
        <f t="shared" si="34"/>
        <v>0</v>
      </c>
      <c r="R78" s="39">
        <f t="shared" si="35"/>
        <v>0</v>
      </c>
    </row>
    <row r="79" spans="4:18" ht="15" x14ac:dyDescent="0.2">
      <c r="D79" s="20">
        <v>17</v>
      </c>
      <c r="E79" s="39" t="s">
        <v>1</v>
      </c>
      <c r="F79" s="39">
        <f t="shared" si="36"/>
        <v>53.6</v>
      </c>
      <c r="G79" s="39">
        <f t="shared" si="37"/>
        <v>0</v>
      </c>
      <c r="H79" s="39">
        <f t="shared" si="38"/>
        <v>0</v>
      </c>
      <c r="I79" s="39">
        <f t="shared" si="39"/>
        <v>0</v>
      </c>
      <c r="J79" s="39">
        <f t="shared" si="40"/>
        <v>0</v>
      </c>
      <c r="K79" s="39">
        <f t="shared" si="41"/>
        <v>0</v>
      </c>
      <c r="L79" s="39">
        <f t="shared" si="42"/>
        <v>0</v>
      </c>
      <c r="M79" s="39">
        <f t="shared" si="43"/>
        <v>0</v>
      </c>
      <c r="N79" s="3">
        <v>28</v>
      </c>
      <c r="O79" s="39">
        <f t="shared" si="32"/>
        <v>1.9142857142857144</v>
      </c>
      <c r="P79" s="39">
        <f t="shared" si="33"/>
        <v>0</v>
      </c>
      <c r="Q79" s="39">
        <f t="shared" si="34"/>
        <v>0</v>
      </c>
      <c r="R79" s="39">
        <f t="shared" si="35"/>
        <v>0</v>
      </c>
    </row>
    <row r="80" spans="4:18" ht="15" x14ac:dyDescent="0.2">
      <c r="D80" s="20">
        <v>18</v>
      </c>
      <c r="E80" s="39" t="s">
        <v>0</v>
      </c>
      <c r="F80" s="39">
        <f t="shared" si="36"/>
        <v>0</v>
      </c>
      <c r="G80" s="39">
        <f t="shared" si="37"/>
        <v>0</v>
      </c>
      <c r="H80" s="39">
        <f t="shared" si="38"/>
        <v>0</v>
      </c>
      <c r="I80" s="39">
        <f t="shared" si="39"/>
        <v>0</v>
      </c>
      <c r="J80" s="39">
        <f t="shared" si="40"/>
        <v>0</v>
      </c>
      <c r="K80" s="39">
        <f t="shared" si="41"/>
        <v>0</v>
      </c>
      <c r="L80" s="39">
        <f t="shared" si="42"/>
        <v>0</v>
      </c>
      <c r="M80" s="39">
        <f t="shared" si="43"/>
        <v>0</v>
      </c>
      <c r="N80" s="3">
        <v>170</v>
      </c>
      <c r="O80" s="39">
        <f t="shared" si="32"/>
        <v>0</v>
      </c>
      <c r="P80" s="39">
        <f t="shared" si="33"/>
        <v>0</v>
      </c>
      <c r="Q80" s="39">
        <f t="shared" si="34"/>
        <v>0</v>
      </c>
      <c r="R80" s="39">
        <f t="shared" si="35"/>
        <v>0</v>
      </c>
    </row>
    <row r="81" spans="5:18" ht="16" x14ac:dyDescent="0.2">
      <c r="E81" s="95" t="s">
        <v>99</v>
      </c>
      <c r="F81" s="97" t="s">
        <v>128</v>
      </c>
      <c r="G81" s="98"/>
      <c r="H81" s="98"/>
      <c r="I81" s="98"/>
      <c r="J81" s="98"/>
      <c r="K81" s="98"/>
      <c r="L81" s="98"/>
      <c r="M81" s="99"/>
      <c r="N81" s="59" t="s">
        <v>104</v>
      </c>
      <c r="O81" s="47" t="s">
        <v>105</v>
      </c>
      <c r="P81" s="48" t="s">
        <v>106</v>
      </c>
      <c r="Q81" s="48" t="s">
        <v>107</v>
      </c>
      <c r="R81" s="49" t="s">
        <v>108</v>
      </c>
    </row>
    <row r="82" spans="5:18" ht="15" x14ac:dyDescent="0.2">
      <c r="E82" s="96"/>
      <c r="F82" s="50">
        <v>60</v>
      </c>
      <c r="G82" s="51">
        <v>60</v>
      </c>
      <c r="H82" s="51">
        <v>60</v>
      </c>
      <c r="I82" s="51">
        <v>60</v>
      </c>
      <c r="J82" s="51">
        <v>60</v>
      </c>
      <c r="K82" s="51">
        <v>60</v>
      </c>
      <c r="L82" s="51">
        <v>60</v>
      </c>
      <c r="M82" s="52">
        <v>60</v>
      </c>
      <c r="N82" s="60" t="s">
        <v>113</v>
      </c>
      <c r="O82" s="47" t="s">
        <v>27</v>
      </c>
      <c r="P82" s="48" t="s">
        <v>27</v>
      </c>
      <c r="Q82" s="48" t="s">
        <v>27</v>
      </c>
      <c r="R82" s="49" t="s">
        <v>27</v>
      </c>
    </row>
    <row r="83" spans="5:18" ht="15" x14ac:dyDescent="0.2">
      <c r="E83" s="39" t="s">
        <v>114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f>L3/60</f>
        <v>4.4333333333333329E-4</v>
      </c>
      <c r="M83" s="39">
        <v>0</v>
      </c>
      <c r="N83" s="7">
        <v>5.7000000000000002E-2</v>
      </c>
      <c r="O83" s="39">
        <f>MAX(F83:G83)/N83</f>
        <v>0</v>
      </c>
      <c r="P83" s="39">
        <f>MAX(G83:H83)/N83</f>
        <v>0</v>
      </c>
      <c r="Q83" s="39">
        <f>MAX(J83:K83)/N83</f>
        <v>0</v>
      </c>
      <c r="R83" s="39">
        <f>MAX(L83:M83)/N83</f>
        <v>7.7777777777777767E-3</v>
      </c>
    </row>
    <row r="84" spans="5:18" ht="15" x14ac:dyDescent="0.2">
      <c r="E84" s="39" t="s">
        <v>115</v>
      </c>
      <c r="F84" s="39">
        <f t="shared" ref="F84:M99" si="44">F4/60</f>
        <v>0.23166666666666666</v>
      </c>
      <c r="G84" s="39">
        <f t="shared" si="44"/>
        <v>0.28500000000000003</v>
      </c>
      <c r="H84" s="39">
        <f t="shared" si="44"/>
        <v>0.27333333333333332</v>
      </c>
      <c r="I84" s="39">
        <f t="shared" si="44"/>
        <v>0.29666666666666669</v>
      </c>
      <c r="J84" s="39">
        <f t="shared" si="44"/>
        <v>9.9333333333333329E-2</v>
      </c>
      <c r="K84" s="39">
        <f t="shared" si="44"/>
        <v>0.10066666666666667</v>
      </c>
      <c r="L84" s="39">
        <f t="shared" si="44"/>
        <v>6.7666666666666667E-2</v>
      </c>
      <c r="M84" s="39">
        <f>M4/60</f>
        <v>5.8499999999999996E-2</v>
      </c>
      <c r="N84" s="7">
        <v>114.7</v>
      </c>
      <c r="O84" s="39">
        <f t="shared" ref="O84:O100" si="45">MAX(F84:G84)/N84</f>
        <v>2.4847428073234527E-3</v>
      </c>
      <c r="P84" s="39">
        <f t="shared" ref="P84:P100" si="46">MAX(G84:H84)/N84</f>
        <v>2.4847428073234527E-3</v>
      </c>
      <c r="Q84" s="39">
        <f t="shared" ref="Q84:Q100" si="47">MAX(J84:K84)/N84</f>
        <v>8.7765184539378082E-4</v>
      </c>
      <c r="R84" s="39">
        <f t="shared" ref="R84:R100" si="48">MAX(L84:M84)/N84</f>
        <v>5.8994478349317053E-4</v>
      </c>
    </row>
    <row r="85" spans="5:18" ht="15" x14ac:dyDescent="0.2">
      <c r="E85" s="39" t="s">
        <v>116</v>
      </c>
      <c r="F85" s="39">
        <f t="shared" si="44"/>
        <v>0.93333333333333335</v>
      </c>
      <c r="G85" s="39">
        <f t="shared" si="44"/>
        <v>0.98333333333333328</v>
      </c>
      <c r="H85" s="39">
        <f t="shared" si="44"/>
        <v>0.98333333333333328</v>
      </c>
      <c r="I85" s="39">
        <f t="shared" si="44"/>
        <v>1.1000000000000001</v>
      </c>
      <c r="J85" s="39">
        <f t="shared" si="44"/>
        <v>0.55000000000000004</v>
      </c>
      <c r="K85" s="39">
        <f t="shared" si="44"/>
        <v>0.5</v>
      </c>
      <c r="L85" s="39">
        <f t="shared" si="44"/>
        <v>0</v>
      </c>
      <c r="M85" s="39">
        <f t="shared" si="44"/>
        <v>0</v>
      </c>
      <c r="N85" s="6">
        <v>2900</v>
      </c>
      <c r="O85" s="39">
        <f t="shared" si="45"/>
        <v>3.3908045977011495E-4</v>
      </c>
      <c r="P85" s="39">
        <f t="shared" si="46"/>
        <v>3.3908045977011495E-4</v>
      </c>
      <c r="Q85" s="39">
        <f t="shared" si="47"/>
        <v>1.8965517241379312E-4</v>
      </c>
      <c r="R85" s="39">
        <f t="shared" si="48"/>
        <v>0</v>
      </c>
    </row>
    <row r="86" spans="5:18" ht="15" x14ac:dyDescent="0.2">
      <c r="E86" s="39" t="s">
        <v>117</v>
      </c>
      <c r="F86" s="39">
        <f t="shared" si="44"/>
        <v>0.04</v>
      </c>
      <c r="G86" s="39">
        <f t="shared" si="44"/>
        <v>4.1666666666666664E-2</v>
      </c>
      <c r="H86" s="39">
        <f t="shared" si="44"/>
        <v>5.3333333333333337E-2</v>
      </c>
      <c r="I86" s="39">
        <f t="shared" si="44"/>
        <v>4.4833333333333329E-2</v>
      </c>
      <c r="J86" s="39">
        <f t="shared" si="44"/>
        <v>1.1333333333333334E-2</v>
      </c>
      <c r="K86" s="39">
        <f t="shared" si="44"/>
        <v>1.0333333333333333E-2</v>
      </c>
      <c r="L86" s="39">
        <f t="shared" si="44"/>
        <v>0</v>
      </c>
      <c r="M86" s="39">
        <f t="shared" si="44"/>
        <v>0</v>
      </c>
      <c r="N86" s="3">
        <v>1.06</v>
      </c>
      <c r="O86" s="39">
        <f t="shared" si="45"/>
        <v>3.9308176100628929E-2</v>
      </c>
      <c r="P86" s="39">
        <f t="shared" si="46"/>
        <v>5.0314465408805034E-2</v>
      </c>
      <c r="Q86" s="39">
        <f t="shared" si="47"/>
        <v>1.069182389937107E-2</v>
      </c>
      <c r="R86" s="39">
        <f t="shared" si="48"/>
        <v>0</v>
      </c>
    </row>
    <row r="87" spans="5:18" ht="15" x14ac:dyDescent="0.2">
      <c r="E87" s="39" t="s">
        <v>118</v>
      </c>
      <c r="F87" s="39">
        <f t="shared" si="44"/>
        <v>0.94333333333333336</v>
      </c>
      <c r="G87" s="39">
        <f t="shared" si="44"/>
        <v>0.43666666666666665</v>
      </c>
      <c r="H87" s="39">
        <f t="shared" si="44"/>
        <v>0.46499999999999997</v>
      </c>
      <c r="I87" s="39">
        <f t="shared" si="44"/>
        <v>0.38833333333333336</v>
      </c>
      <c r="J87" s="39">
        <f t="shared" si="44"/>
        <v>0.60333333333333339</v>
      </c>
      <c r="K87" s="39">
        <f t="shared" si="44"/>
        <v>0.42</v>
      </c>
      <c r="L87" s="39">
        <f t="shared" si="44"/>
        <v>0.17499999999999999</v>
      </c>
      <c r="M87" s="39">
        <f t="shared" si="44"/>
        <v>0.17833333333333332</v>
      </c>
      <c r="N87" s="3">
        <v>6.3</v>
      </c>
      <c r="O87" s="39">
        <f t="shared" si="45"/>
        <v>0.14973544973544975</v>
      </c>
      <c r="P87" s="39">
        <f t="shared" si="46"/>
        <v>7.3809523809523811E-2</v>
      </c>
      <c r="Q87" s="39">
        <f t="shared" si="47"/>
        <v>9.5767195767195779E-2</v>
      </c>
      <c r="R87" s="39">
        <f t="shared" si="48"/>
        <v>2.8306878306878305E-2</v>
      </c>
    </row>
    <row r="88" spans="5:18" ht="15" x14ac:dyDescent="0.2">
      <c r="E88" s="39" t="s">
        <v>16</v>
      </c>
      <c r="F88" s="39">
        <f t="shared" si="44"/>
        <v>0.04</v>
      </c>
      <c r="G88" s="39">
        <f t="shared" si="44"/>
        <v>4.3333333333333335E-2</v>
      </c>
      <c r="H88" s="39">
        <f t="shared" si="44"/>
        <v>0</v>
      </c>
      <c r="I88" s="39">
        <f t="shared" si="44"/>
        <v>0</v>
      </c>
      <c r="J88" s="39">
        <f t="shared" si="44"/>
        <v>0</v>
      </c>
      <c r="K88" s="39">
        <f t="shared" si="44"/>
        <v>0</v>
      </c>
      <c r="L88" s="39">
        <f t="shared" si="44"/>
        <v>0</v>
      </c>
      <c r="M88" s="39">
        <f t="shared" si="44"/>
        <v>0</v>
      </c>
      <c r="N88" s="3">
        <v>1650</v>
      </c>
      <c r="O88" s="39">
        <f t="shared" si="45"/>
        <v>2.6262626262626265E-5</v>
      </c>
      <c r="P88" s="39">
        <f t="shared" si="46"/>
        <v>2.6262626262626265E-5</v>
      </c>
      <c r="Q88" s="39">
        <f t="shared" si="47"/>
        <v>0</v>
      </c>
      <c r="R88" s="39">
        <f t="shared" si="48"/>
        <v>0</v>
      </c>
    </row>
    <row r="89" spans="5:18" ht="15" x14ac:dyDescent="0.2">
      <c r="E89" s="39" t="s">
        <v>119</v>
      </c>
      <c r="F89" s="39">
        <f t="shared" si="44"/>
        <v>4.5166666666666666</v>
      </c>
      <c r="G89" s="39">
        <f t="shared" si="44"/>
        <v>5.6833333333333336</v>
      </c>
      <c r="H89" s="39">
        <f t="shared" si="44"/>
        <v>6.6</v>
      </c>
      <c r="I89" s="39">
        <f t="shared" si="44"/>
        <v>6.8833333333333337</v>
      </c>
      <c r="J89" s="39">
        <f t="shared" si="44"/>
        <v>1.8833333333333333</v>
      </c>
      <c r="K89" s="39">
        <f t="shared" si="44"/>
        <v>1.9666666666666666</v>
      </c>
      <c r="L89" s="39">
        <f t="shared" si="44"/>
        <v>0.92</v>
      </c>
      <c r="M89" s="39">
        <f t="shared" si="44"/>
        <v>0.94</v>
      </c>
      <c r="N89" s="3">
        <v>34</v>
      </c>
      <c r="O89" s="39">
        <f t="shared" si="45"/>
        <v>0.16715686274509806</v>
      </c>
      <c r="P89" s="39">
        <f t="shared" si="46"/>
        <v>0.19411764705882351</v>
      </c>
      <c r="Q89" s="39">
        <f t="shared" si="47"/>
        <v>5.7843137254901957E-2</v>
      </c>
      <c r="R89" s="39">
        <f t="shared" si="48"/>
        <v>2.764705882352941E-2</v>
      </c>
    </row>
    <row r="90" spans="5:18" ht="15" x14ac:dyDescent="0.2">
      <c r="E90" s="39" t="s">
        <v>120</v>
      </c>
      <c r="F90" s="39">
        <f t="shared" si="44"/>
        <v>0</v>
      </c>
      <c r="G90" s="39">
        <f t="shared" si="44"/>
        <v>0</v>
      </c>
      <c r="H90" s="39">
        <f t="shared" si="44"/>
        <v>0</v>
      </c>
      <c r="I90" s="39">
        <f t="shared" si="44"/>
        <v>0</v>
      </c>
      <c r="J90" s="39">
        <f t="shared" si="44"/>
        <v>0</v>
      </c>
      <c r="K90" s="39">
        <f t="shared" si="44"/>
        <v>0</v>
      </c>
      <c r="L90" s="39">
        <f t="shared" si="44"/>
        <v>0</v>
      </c>
      <c r="M90" s="39">
        <f t="shared" si="44"/>
        <v>0</v>
      </c>
      <c r="N90" s="3">
        <v>11900</v>
      </c>
      <c r="O90" s="39">
        <f t="shared" si="45"/>
        <v>0</v>
      </c>
      <c r="P90" s="39">
        <f t="shared" si="46"/>
        <v>0</v>
      </c>
      <c r="Q90" s="39">
        <f t="shared" si="47"/>
        <v>0</v>
      </c>
      <c r="R90" s="39">
        <f t="shared" si="48"/>
        <v>0</v>
      </c>
    </row>
    <row r="91" spans="5:18" ht="15" x14ac:dyDescent="0.2">
      <c r="E91" s="39" t="s">
        <v>11</v>
      </c>
      <c r="F91" s="39">
        <f t="shared" si="44"/>
        <v>0.83666666666666667</v>
      </c>
      <c r="G91" s="39">
        <f t="shared" si="44"/>
        <v>1.0933333333333333</v>
      </c>
      <c r="H91" s="39">
        <f t="shared" si="44"/>
        <v>1.7333333333333334</v>
      </c>
      <c r="I91" s="39">
        <f t="shared" si="44"/>
        <v>1.7666666666666666</v>
      </c>
      <c r="J91" s="39">
        <f t="shared" si="44"/>
        <v>0.87</v>
      </c>
      <c r="K91" s="39">
        <f t="shared" si="44"/>
        <v>0.88833333333333331</v>
      </c>
      <c r="L91" s="39">
        <f t="shared" si="44"/>
        <v>0.78500000000000003</v>
      </c>
      <c r="M91" s="39">
        <f t="shared" si="44"/>
        <v>0.75</v>
      </c>
      <c r="N91" s="3">
        <v>37</v>
      </c>
      <c r="O91" s="39">
        <f t="shared" si="45"/>
        <v>2.9549549549549546E-2</v>
      </c>
      <c r="P91" s="39">
        <f t="shared" si="46"/>
        <v>4.6846846846846847E-2</v>
      </c>
      <c r="Q91" s="39">
        <f t="shared" si="47"/>
        <v>2.4009009009009007E-2</v>
      </c>
      <c r="R91" s="39">
        <f t="shared" si="48"/>
        <v>2.1216216216216218E-2</v>
      </c>
    </row>
    <row r="92" spans="5:18" ht="15" x14ac:dyDescent="0.2">
      <c r="E92" s="39" t="s">
        <v>121</v>
      </c>
      <c r="F92" s="39">
        <f t="shared" si="44"/>
        <v>0</v>
      </c>
      <c r="G92" s="39">
        <f t="shared" si="44"/>
        <v>1.6666666666666666E-2</v>
      </c>
      <c r="H92" s="39">
        <f t="shared" si="44"/>
        <v>0</v>
      </c>
      <c r="I92" s="39">
        <f t="shared" si="44"/>
        <v>0</v>
      </c>
      <c r="J92" s="39">
        <f t="shared" si="44"/>
        <v>0</v>
      </c>
      <c r="K92" s="39">
        <f t="shared" si="44"/>
        <v>0</v>
      </c>
      <c r="L92" s="39">
        <f t="shared" si="44"/>
        <v>0</v>
      </c>
      <c r="M92" s="39">
        <f t="shared" si="44"/>
        <v>0</v>
      </c>
      <c r="N92" s="3">
        <v>4.0999999999999996</v>
      </c>
      <c r="O92" s="39">
        <f t="shared" si="45"/>
        <v>4.0650406504065045E-3</v>
      </c>
      <c r="P92" s="39">
        <f t="shared" si="46"/>
        <v>4.0650406504065045E-3</v>
      </c>
      <c r="Q92" s="39">
        <f t="shared" si="47"/>
        <v>0</v>
      </c>
      <c r="R92" s="39">
        <f t="shared" si="48"/>
        <v>0</v>
      </c>
    </row>
    <row r="93" spans="5:18" ht="15" x14ac:dyDescent="0.2">
      <c r="E93" s="39" t="s">
        <v>122</v>
      </c>
      <c r="F93" s="39">
        <f t="shared" si="44"/>
        <v>6.5666666666666664</v>
      </c>
      <c r="G93" s="39">
        <f t="shared" si="44"/>
        <v>9.1666666666666661</v>
      </c>
      <c r="H93" s="39">
        <f t="shared" si="44"/>
        <v>12.133333333333333</v>
      </c>
      <c r="I93" s="39">
        <f t="shared" si="44"/>
        <v>12.883333333333333</v>
      </c>
      <c r="J93" s="39">
        <f t="shared" si="44"/>
        <v>4.7666666666666666</v>
      </c>
      <c r="K93" s="39">
        <f t="shared" si="44"/>
        <v>4.8</v>
      </c>
      <c r="L93" s="39">
        <f t="shared" si="44"/>
        <v>4.1500000000000004</v>
      </c>
      <c r="M93" s="39">
        <f t="shared" si="44"/>
        <v>3.9</v>
      </c>
      <c r="N93" s="3">
        <v>14.4</v>
      </c>
      <c r="O93" s="39">
        <f t="shared" si="45"/>
        <v>0.63657407407407407</v>
      </c>
      <c r="P93" s="39">
        <f t="shared" si="46"/>
        <v>0.84259259259259256</v>
      </c>
      <c r="Q93" s="39">
        <f t="shared" si="47"/>
        <v>0.33333333333333331</v>
      </c>
      <c r="R93" s="39">
        <f t="shared" si="48"/>
        <v>0.28819444444444448</v>
      </c>
    </row>
    <row r="94" spans="5:18" ht="15" x14ac:dyDescent="0.2">
      <c r="E94" s="39" t="s">
        <v>123</v>
      </c>
      <c r="F94" s="39">
        <f t="shared" si="44"/>
        <v>0</v>
      </c>
      <c r="G94" s="39">
        <f t="shared" si="44"/>
        <v>1.5666666666666667E-3</v>
      </c>
      <c r="H94" s="39">
        <f t="shared" si="44"/>
        <v>0</v>
      </c>
      <c r="I94" s="39">
        <f t="shared" si="44"/>
        <v>0</v>
      </c>
      <c r="J94" s="39">
        <f t="shared" si="44"/>
        <v>0</v>
      </c>
      <c r="K94" s="39">
        <f t="shared" si="44"/>
        <v>0</v>
      </c>
      <c r="L94" s="39">
        <f t="shared" si="44"/>
        <v>0</v>
      </c>
      <c r="M94" s="39">
        <f t="shared" si="44"/>
        <v>0</v>
      </c>
      <c r="N94" s="3">
        <v>0.19</v>
      </c>
      <c r="O94" s="39">
        <f t="shared" si="45"/>
        <v>8.2456140350877193E-3</v>
      </c>
      <c r="P94" s="39">
        <f t="shared" si="46"/>
        <v>8.2456140350877193E-3</v>
      </c>
      <c r="Q94" s="39">
        <f t="shared" si="47"/>
        <v>0</v>
      </c>
      <c r="R94" s="39">
        <f t="shared" si="48"/>
        <v>0</v>
      </c>
    </row>
    <row r="95" spans="5:18" ht="15" x14ac:dyDescent="0.2">
      <c r="E95" s="39" t="s">
        <v>124</v>
      </c>
      <c r="F95" s="39">
        <f t="shared" si="44"/>
        <v>0</v>
      </c>
      <c r="G95" s="39">
        <f t="shared" si="44"/>
        <v>7.083333333333333E-3</v>
      </c>
      <c r="H95" s="39">
        <f t="shared" si="44"/>
        <v>0</v>
      </c>
      <c r="I95" s="39">
        <f t="shared" si="44"/>
        <v>0</v>
      </c>
      <c r="J95" s="39">
        <f t="shared" si="44"/>
        <v>0</v>
      </c>
      <c r="K95" s="39">
        <f t="shared" si="44"/>
        <v>0</v>
      </c>
      <c r="L95" s="39">
        <f t="shared" si="44"/>
        <v>0</v>
      </c>
      <c r="M95" s="39">
        <f t="shared" si="44"/>
        <v>0</v>
      </c>
      <c r="N95" s="3">
        <v>6.5</v>
      </c>
      <c r="O95" s="39">
        <f t="shared" si="45"/>
        <v>1.0897435897435897E-3</v>
      </c>
      <c r="P95" s="39">
        <f t="shared" si="46"/>
        <v>1.0897435897435897E-3</v>
      </c>
      <c r="Q95" s="39">
        <f t="shared" si="47"/>
        <v>0</v>
      </c>
      <c r="R95" s="39">
        <f t="shared" si="48"/>
        <v>0</v>
      </c>
    </row>
    <row r="96" spans="5:18" ht="15" x14ac:dyDescent="0.2">
      <c r="E96" s="39" t="s">
        <v>125</v>
      </c>
      <c r="F96" s="39">
        <f t="shared" si="44"/>
        <v>0.81666666666666665</v>
      </c>
      <c r="G96" s="39">
        <f t="shared" si="44"/>
        <v>1.06</v>
      </c>
      <c r="H96" s="39">
        <f t="shared" si="44"/>
        <v>0.29333333333333333</v>
      </c>
      <c r="I96" s="39">
        <f t="shared" si="44"/>
        <v>0.99833333333333329</v>
      </c>
      <c r="J96" s="39">
        <f t="shared" si="44"/>
        <v>0.29499999999999998</v>
      </c>
      <c r="K96" s="39">
        <f t="shared" si="44"/>
        <v>0.42833333333333334</v>
      </c>
      <c r="L96" s="39">
        <f t="shared" si="44"/>
        <v>0.3</v>
      </c>
      <c r="M96" s="39">
        <f t="shared" si="44"/>
        <v>0.24666666666666667</v>
      </c>
      <c r="N96" s="3">
        <v>20</v>
      </c>
      <c r="O96" s="39">
        <f t="shared" si="45"/>
        <v>5.3000000000000005E-2</v>
      </c>
      <c r="P96" s="39">
        <f t="shared" si="46"/>
        <v>5.3000000000000005E-2</v>
      </c>
      <c r="Q96" s="39">
        <f t="shared" si="47"/>
        <v>2.1416666666666667E-2</v>
      </c>
      <c r="R96" s="39">
        <f t="shared" si="48"/>
        <v>1.4999999999999999E-2</v>
      </c>
    </row>
    <row r="97" spans="5:18" ht="15" x14ac:dyDescent="0.2">
      <c r="E97" s="39" t="s">
        <v>126</v>
      </c>
      <c r="F97" s="39">
        <f t="shared" si="44"/>
        <v>0</v>
      </c>
      <c r="G97" s="39">
        <f t="shared" si="44"/>
        <v>0</v>
      </c>
      <c r="H97" s="39">
        <f t="shared" si="44"/>
        <v>0</v>
      </c>
      <c r="I97" s="39">
        <f t="shared" si="44"/>
        <v>0</v>
      </c>
      <c r="J97" s="39">
        <f t="shared" si="44"/>
        <v>0</v>
      </c>
      <c r="K97" s="39">
        <f t="shared" si="44"/>
        <v>0</v>
      </c>
      <c r="L97" s="39">
        <f t="shared" si="44"/>
        <v>0</v>
      </c>
      <c r="M97" s="39">
        <f t="shared" si="44"/>
        <v>0</v>
      </c>
      <c r="N97" s="3">
        <v>2.4</v>
      </c>
      <c r="O97" s="39">
        <f t="shared" si="45"/>
        <v>0</v>
      </c>
      <c r="P97" s="39">
        <f t="shared" si="46"/>
        <v>0</v>
      </c>
      <c r="Q97" s="39">
        <f t="shared" si="47"/>
        <v>0</v>
      </c>
      <c r="R97" s="39">
        <f t="shared" si="48"/>
        <v>0</v>
      </c>
    </row>
    <row r="98" spans="5:18" ht="15" x14ac:dyDescent="0.2">
      <c r="E98" s="39" t="s">
        <v>127</v>
      </c>
      <c r="F98" s="39">
        <f t="shared" si="44"/>
        <v>3.6166666666666666E-2</v>
      </c>
      <c r="G98" s="39">
        <f t="shared" si="44"/>
        <v>3.7666666666666661E-2</v>
      </c>
      <c r="H98" s="39">
        <f t="shared" si="44"/>
        <v>3.4166666666666665E-2</v>
      </c>
      <c r="I98" s="39">
        <f t="shared" si="44"/>
        <v>3.0166666666666668E-2</v>
      </c>
      <c r="J98" s="39">
        <f t="shared" si="44"/>
        <v>0</v>
      </c>
      <c r="K98" s="39">
        <f t="shared" si="44"/>
        <v>0</v>
      </c>
      <c r="L98" s="39">
        <f t="shared" si="44"/>
        <v>0</v>
      </c>
      <c r="M98" s="39">
        <f t="shared" si="44"/>
        <v>0</v>
      </c>
      <c r="N98" s="3">
        <v>5.6</v>
      </c>
      <c r="O98" s="39">
        <f t="shared" si="45"/>
        <v>6.7261904761904759E-3</v>
      </c>
      <c r="P98" s="39">
        <f t="shared" si="46"/>
        <v>6.7261904761904759E-3</v>
      </c>
      <c r="Q98" s="39">
        <f t="shared" si="47"/>
        <v>0</v>
      </c>
      <c r="R98" s="39">
        <f t="shared" si="48"/>
        <v>0</v>
      </c>
    </row>
    <row r="99" spans="5:18" ht="15" x14ac:dyDescent="0.2">
      <c r="E99" s="39" t="s">
        <v>1</v>
      </c>
      <c r="F99" s="39">
        <f t="shared" si="44"/>
        <v>44.666666666666664</v>
      </c>
      <c r="G99" s="39">
        <f t="shared" si="44"/>
        <v>0</v>
      </c>
      <c r="H99" s="39">
        <f t="shared" si="44"/>
        <v>0</v>
      </c>
      <c r="I99" s="39">
        <f t="shared" si="44"/>
        <v>0</v>
      </c>
      <c r="J99" s="39">
        <f t="shared" si="44"/>
        <v>0</v>
      </c>
      <c r="K99" s="39">
        <f t="shared" si="44"/>
        <v>0</v>
      </c>
      <c r="L99" s="39">
        <f t="shared" si="44"/>
        <v>0</v>
      </c>
      <c r="M99" s="39">
        <f t="shared" si="44"/>
        <v>0</v>
      </c>
      <c r="N99" s="3">
        <v>28</v>
      </c>
      <c r="O99" s="39">
        <f t="shared" si="45"/>
        <v>1.5952380952380951</v>
      </c>
      <c r="P99" s="39">
        <f t="shared" si="46"/>
        <v>0</v>
      </c>
      <c r="Q99" s="39">
        <f t="shared" si="47"/>
        <v>0</v>
      </c>
      <c r="R99" s="39">
        <f t="shared" si="48"/>
        <v>0</v>
      </c>
    </row>
    <row r="100" spans="5:18" ht="15" x14ac:dyDescent="0.2">
      <c r="E100" s="39" t="s">
        <v>0</v>
      </c>
      <c r="F100" s="39">
        <f t="shared" ref="F100:M100" si="49">F20/60</f>
        <v>0</v>
      </c>
      <c r="G100" s="39">
        <f t="shared" si="49"/>
        <v>0</v>
      </c>
      <c r="H100" s="39">
        <f t="shared" si="49"/>
        <v>0</v>
      </c>
      <c r="I100" s="39">
        <f t="shared" si="49"/>
        <v>0</v>
      </c>
      <c r="J100" s="39">
        <f t="shared" si="49"/>
        <v>0</v>
      </c>
      <c r="K100" s="39">
        <f t="shared" si="49"/>
        <v>0</v>
      </c>
      <c r="L100" s="39">
        <f t="shared" si="49"/>
        <v>0</v>
      </c>
      <c r="M100" s="39">
        <f t="shared" si="49"/>
        <v>0</v>
      </c>
      <c r="N100" s="3">
        <v>170</v>
      </c>
      <c r="O100" s="39">
        <f t="shared" si="45"/>
        <v>0</v>
      </c>
      <c r="P100" s="39">
        <f t="shared" si="46"/>
        <v>0</v>
      </c>
      <c r="Q100" s="39">
        <f t="shared" si="47"/>
        <v>0</v>
      </c>
      <c r="R100" s="39">
        <f t="shared" si="48"/>
        <v>0</v>
      </c>
    </row>
    <row r="101" spans="5:18" ht="16" x14ac:dyDescent="0.2">
      <c r="E101" s="95" t="s">
        <v>99</v>
      </c>
      <c r="F101" s="97" t="s">
        <v>128</v>
      </c>
      <c r="G101" s="98"/>
      <c r="H101" s="98"/>
      <c r="I101" s="98"/>
      <c r="J101" s="98"/>
      <c r="K101" s="98"/>
      <c r="L101" s="98"/>
      <c r="M101" s="98"/>
      <c r="N101" s="59" t="s">
        <v>104</v>
      </c>
      <c r="O101" s="47" t="s">
        <v>105</v>
      </c>
      <c r="P101" s="48" t="s">
        <v>106</v>
      </c>
      <c r="Q101" s="48" t="s">
        <v>107</v>
      </c>
      <c r="R101" s="49" t="s">
        <v>108</v>
      </c>
    </row>
    <row r="102" spans="5:18" ht="15" x14ac:dyDescent="0.2">
      <c r="E102" s="96"/>
      <c r="F102" s="51">
        <v>70</v>
      </c>
      <c r="G102" s="51">
        <v>70</v>
      </c>
      <c r="H102" s="51">
        <v>70</v>
      </c>
      <c r="I102" s="51">
        <v>70</v>
      </c>
      <c r="J102" s="51">
        <v>70</v>
      </c>
      <c r="K102" s="51">
        <v>70</v>
      </c>
      <c r="L102" s="51">
        <v>70</v>
      </c>
      <c r="M102" s="51">
        <v>70</v>
      </c>
      <c r="N102" s="60" t="s">
        <v>113</v>
      </c>
      <c r="O102" s="47" t="s">
        <v>27</v>
      </c>
      <c r="P102" s="48" t="s">
        <v>27</v>
      </c>
      <c r="Q102" s="48" t="s">
        <v>27</v>
      </c>
      <c r="R102" s="49" t="s">
        <v>27</v>
      </c>
    </row>
    <row r="103" spans="5:18" ht="15" x14ac:dyDescent="0.2">
      <c r="E103" s="39" t="s">
        <v>114</v>
      </c>
      <c r="F103" s="39">
        <v>0</v>
      </c>
      <c r="G103" s="39">
        <v>0</v>
      </c>
      <c r="H103" s="39">
        <v>0</v>
      </c>
      <c r="I103" s="39">
        <v>0</v>
      </c>
      <c r="J103" s="39">
        <v>0</v>
      </c>
      <c r="K103" s="39">
        <v>0</v>
      </c>
      <c r="L103" s="39">
        <f>L3/70</f>
        <v>3.7999999999999997E-4</v>
      </c>
      <c r="M103" s="39">
        <v>0</v>
      </c>
      <c r="N103" s="7">
        <v>5.7000000000000002E-2</v>
      </c>
      <c r="O103" s="39">
        <f>MAX(F103:G103)/N103</f>
        <v>0</v>
      </c>
      <c r="P103" s="39">
        <f>MAX(G103:H103)/N103</f>
        <v>0</v>
      </c>
      <c r="Q103" s="39">
        <f>MAX(J103:K103)/N103</f>
        <v>0</v>
      </c>
      <c r="R103" s="39">
        <f>MAX(L103:M103)/N103</f>
        <v>6.6666666666666662E-3</v>
      </c>
    </row>
    <row r="104" spans="5:18" ht="15" x14ac:dyDescent="0.2">
      <c r="E104" s="39" t="s">
        <v>115</v>
      </c>
      <c r="F104" s="39">
        <f t="shared" ref="F104:M119" si="50">F4/70</f>
        <v>0.19857142857142857</v>
      </c>
      <c r="G104" s="39">
        <f t="shared" si="50"/>
        <v>0.2442857142857143</v>
      </c>
      <c r="H104" s="39">
        <f t="shared" si="50"/>
        <v>0.23428571428571426</v>
      </c>
      <c r="I104" s="39">
        <f t="shared" si="50"/>
        <v>0.25428571428571428</v>
      </c>
      <c r="J104" s="39">
        <f t="shared" si="50"/>
        <v>8.5142857142857145E-2</v>
      </c>
      <c r="K104" s="39">
        <f t="shared" si="50"/>
        <v>8.6285714285714285E-2</v>
      </c>
      <c r="L104" s="39">
        <f t="shared" si="50"/>
        <v>5.7999999999999996E-2</v>
      </c>
      <c r="M104" s="39">
        <f>M4/70</f>
        <v>5.0142857142857142E-2</v>
      </c>
      <c r="N104" s="7">
        <v>114.7</v>
      </c>
      <c r="O104" s="39">
        <f t="shared" ref="O104:O120" si="51">MAX(F104:G104)/N104</f>
        <v>2.1297795491343877E-3</v>
      </c>
      <c r="P104" s="39">
        <f t="shared" ref="P104:P120" si="52">MAX(G104:H104)/N104</f>
        <v>2.1297795491343877E-3</v>
      </c>
      <c r="Q104" s="39">
        <f t="shared" ref="Q104:Q120" si="53">MAX(J104:K104)/N104</f>
        <v>7.5227301033752643E-4</v>
      </c>
      <c r="R104" s="39">
        <f t="shared" ref="R104:R120" si="54">MAX(L104:M104)/N104</f>
        <v>5.0566695727986041E-4</v>
      </c>
    </row>
    <row r="105" spans="5:18" ht="15" x14ac:dyDescent="0.2">
      <c r="E105" s="39" t="s">
        <v>116</v>
      </c>
      <c r="F105" s="39">
        <f t="shared" si="50"/>
        <v>0.8</v>
      </c>
      <c r="G105" s="39">
        <f t="shared" si="50"/>
        <v>0.84285714285714286</v>
      </c>
      <c r="H105" s="39">
        <f t="shared" si="50"/>
        <v>0.84285714285714286</v>
      </c>
      <c r="I105" s="39">
        <f t="shared" si="50"/>
        <v>0.94285714285714284</v>
      </c>
      <c r="J105" s="39">
        <f t="shared" si="50"/>
        <v>0.47142857142857142</v>
      </c>
      <c r="K105" s="39">
        <f t="shared" si="50"/>
        <v>0.42857142857142855</v>
      </c>
      <c r="L105" s="39">
        <f t="shared" si="50"/>
        <v>0</v>
      </c>
      <c r="M105" s="39">
        <f t="shared" si="50"/>
        <v>0</v>
      </c>
      <c r="N105" s="6">
        <v>2900</v>
      </c>
      <c r="O105" s="39">
        <f t="shared" si="51"/>
        <v>2.9064039408866995E-4</v>
      </c>
      <c r="P105" s="39">
        <f t="shared" si="52"/>
        <v>2.9064039408866995E-4</v>
      </c>
      <c r="Q105" s="39">
        <f t="shared" si="53"/>
        <v>1.6256157635467981E-4</v>
      </c>
      <c r="R105" s="39">
        <f t="shared" si="54"/>
        <v>0</v>
      </c>
    </row>
    <row r="106" spans="5:18" ht="15" x14ac:dyDescent="0.2">
      <c r="E106" s="39" t="s">
        <v>117</v>
      </c>
      <c r="F106" s="39">
        <f t="shared" si="50"/>
        <v>3.4285714285714287E-2</v>
      </c>
      <c r="G106" s="39">
        <f t="shared" si="50"/>
        <v>3.5714285714285712E-2</v>
      </c>
      <c r="H106" s="39">
        <f t="shared" si="50"/>
        <v>4.5714285714285714E-2</v>
      </c>
      <c r="I106" s="39">
        <f t="shared" si="50"/>
        <v>3.842857142857143E-2</v>
      </c>
      <c r="J106" s="39">
        <f t="shared" si="50"/>
        <v>9.7142857142857152E-3</v>
      </c>
      <c r="K106" s="39">
        <f t="shared" si="50"/>
        <v>8.8571428571428568E-3</v>
      </c>
      <c r="L106" s="39">
        <f t="shared" si="50"/>
        <v>0</v>
      </c>
      <c r="M106" s="39">
        <f t="shared" si="50"/>
        <v>0</v>
      </c>
      <c r="N106" s="3">
        <v>1.06</v>
      </c>
      <c r="O106" s="39">
        <f t="shared" si="51"/>
        <v>3.3692722371967652E-2</v>
      </c>
      <c r="P106" s="39">
        <f t="shared" si="52"/>
        <v>4.3126684636118594E-2</v>
      </c>
      <c r="Q106" s="39">
        <f t="shared" si="53"/>
        <v>9.1644204851752033E-3</v>
      </c>
      <c r="R106" s="39">
        <f t="shared" si="54"/>
        <v>0</v>
      </c>
    </row>
    <row r="107" spans="5:18" ht="15" x14ac:dyDescent="0.2">
      <c r="E107" s="39" t="s">
        <v>118</v>
      </c>
      <c r="F107" s="39">
        <f t="shared" si="50"/>
        <v>0.80857142857142861</v>
      </c>
      <c r="G107" s="39">
        <f t="shared" si="50"/>
        <v>0.37428571428571428</v>
      </c>
      <c r="H107" s="39">
        <f t="shared" si="50"/>
        <v>0.39857142857142858</v>
      </c>
      <c r="I107" s="39">
        <f t="shared" si="50"/>
        <v>0.33285714285714285</v>
      </c>
      <c r="J107" s="39">
        <f t="shared" si="50"/>
        <v>0.51714285714285724</v>
      </c>
      <c r="K107" s="39">
        <f t="shared" si="50"/>
        <v>0.36</v>
      </c>
      <c r="L107" s="39">
        <f t="shared" si="50"/>
        <v>0.15</v>
      </c>
      <c r="M107" s="39">
        <f t="shared" si="50"/>
        <v>0.15285714285714286</v>
      </c>
      <c r="N107" s="3">
        <v>6.3</v>
      </c>
      <c r="O107" s="39">
        <f t="shared" si="51"/>
        <v>0.12834467120181406</v>
      </c>
      <c r="P107" s="39">
        <f t="shared" si="52"/>
        <v>6.3265306122448989E-2</v>
      </c>
      <c r="Q107" s="39">
        <f t="shared" si="53"/>
        <v>8.2086167800453538E-2</v>
      </c>
      <c r="R107" s="39">
        <f t="shared" si="54"/>
        <v>2.4263038548752835E-2</v>
      </c>
    </row>
    <row r="108" spans="5:18" ht="15" x14ac:dyDescent="0.2">
      <c r="E108" s="39" t="s">
        <v>16</v>
      </c>
      <c r="F108" s="39">
        <f t="shared" si="50"/>
        <v>3.4285714285714287E-2</v>
      </c>
      <c r="G108" s="39">
        <f t="shared" si="50"/>
        <v>3.7142857142857144E-2</v>
      </c>
      <c r="H108" s="39">
        <f t="shared" si="50"/>
        <v>0</v>
      </c>
      <c r="I108" s="39">
        <f t="shared" si="50"/>
        <v>0</v>
      </c>
      <c r="J108" s="39">
        <f t="shared" si="50"/>
        <v>0</v>
      </c>
      <c r="K108" s="39">
        <f t="shared" si="50"/>
        <v>0</v>
      </c>
      <c r="L108" s="39">
        <f t="shared" si="50"/>
        <v>0</v>
      </c>
      <c r="M108" s="39">
        <f t="shared" si="50"/>
        <v>0</v>
      </c>
      <c r="N108" s="3">
        <v>1650</v>
      </c>
      <c r="O108" s="39">
        <f t="shared" si="51"/>
        <v>2.2510822510822512E-5</v>
      </c>
      <c r="P108" s="39">
        <f t="shared" si="52"/>
        <v>2.2510822510822512E-5</v>
      </c>
      <c r="Q108" s="39">
        <f t="shared" si="53"/>
        <v>0</v>
      </c>
      <c r="R108" s="39">
        <f t="shared" si="54"/>
        <v>0</v>
      </c>
    </row>
    <row r="109" spans="5:18" ht="15" x14ac:dyDescent="0.2">
      <c r="E109" s="39" t="s">
        <v>119</v>
      </c>
      <c r="F109" s="39">
        <f t="shared" si="50"/>
        <v>3.8714285714285714</v>
      </c>
      <c r="G109" s="39">
        <f t="shared" si="50"/>
        <v>4.871428571428571</v>
      </c>
      <c r="H109" s="39">
        <f t="shared" si="50"/>
        <v>5.6571428571428575</v>
      </c>
      <c r="I109" s="39">
        <f t="shared" si="50"/>
        <v>5.9</v>
      </c>
      <c r="J109" s="39">
        <f t="shared" si="50"/>
        <v>1.6142857142857143</v>
      </c>
      <c r="K109" s="39">
        <f t="shared" si="50"/>
        <v>1.6857142857142857</v>
      </c>
      <c r="L109" s="39">
        <f t="shared" si="50"/>
        <v>0.78857142857142859</v>
      </c>
      <c r="M109" s="39">
        <f t="shared" si="50"/>
        <v>0.80571428571428572</v>
      </c>
      <c r="N109" s="3">
        <v>34</v>
      </c>
      <c r="O109" s="39">
        <f t="shared" si="51"/>
        <v>0.14327731092436974</v>
      </c>
      <c r="P109" s="39">
        <f t="shared" si="52"/>
        <v>0.16638655462184876</v>
      </c>
      <c r="Q109" s="39">
        <f t="shared" si="53"/>
        <v>4.9579831932773107E-2</v>
      </c>
      <c r="R109" s="39">
        <f t="shared" si="54"/>
        <v>2.3697478991596639E-2</v>
      </c>
    </row>
    <row r="110" spans="5:18" ht="15" x14ac:dyDescent="0.2">
      <c r="E110" s="39" t="s">
        <v>120</v>
      </c>
      <c r="F110" s="39">
        <f t="shared" si="50"/>
        <v>0</v>
      </c>
      <c r="G110" s="39">
        <f t="shared" si="50"/>
        <v>0</v>
      </c>
      <c r="H110" s="39">
        <f t="shared" si="50"/>
        <v>0</v>
      </c>
      <c r="I110" s="39">
        <f t="shared" si="50"/>
        <v>0</v>
      </c>
      <c r="J110" s="39">
        <f t="shared" si="50"/>
        <v>0</v>
      </c>
      <c r="K110" s="39">
        <f t="shared" si="50"/>
        <v>0</v>
      </c>
      <c r="L110" s="39">
        <f t="shared" si="50"/>
        <v>0</v>
      </c>
      <c r="M110" s="39">
        <f t="shared" si="50"/>
        <v>0</v>
      </c>
      <c r="N110" s="3">
        <v>11900</v>
      </c>
      <c r="O110" s="39">
        <f t="shared" si="51"/>
        <v>0</v>
      </c>
      <c r="P110" s="39">
        <f t="shared" si="52"/>
        <v>0</v>
      </c>
      <c r="Q110" s="39">
        <f t="shared" si="53"/>
        <v>0</v>
      </c>
      <c r="R110" s="39">
        <f t="shared" si="54"/>
        <v>0</v>
      </c>
    </row>
    <row r="111" spans="5:18" ht="15" x14ac:dyDescent="0.2">
      <c r="E111" s="39" t="s">
        <v>11</v>
      </c>
      <c r="F111" s="39">
        <f t="shared" si="50"/>
        <v>0.71714285714285719</v>
      </c>
      <c r="G111" s="39">
        <f t="shared" si="50"/>
        <v>0.93714285714285706</v>
      </c>
      <c r="H111" s="39">
        <f t="shared" si="50"/>
        <v>1.4857142857142858</v>
      </c>
      <c r="I111" s="39">
        <f t="shared" si="50"/>
        <v>1.5142857142857142</v>
      </c>
      <c r="J111" s="39">
        <f t="shared" si="50"/>
        <v>0.74571428571428577</v>
      </c>
      <c r="K111" s="39">
        <f t="shared" si="50"/>
        <v>0.76142857142857134</v>
      </c>
      <c r="L111" s="39">
        <f t="shared" si="50"/>
        <v>0.67285714285714293</v>
      </c>
      <c r="M111" s="39">
        <f t="shared" si="50"/>
        <v>0.6428571428571429</v>
      </c>
      <c r="N111" s="3">
        <v>37</v>
      </c>
      <c r="O111" s="39">
        <f t="shared" si="51"/>
        <v>2.5328185328185326E-2</v>
      </c>
      <c r="P111" s="39">
        <f t="shared" si="52"/>
        <v>4.0154440154440155E-2</v>
      </c>
      <c r="Q111" s="39">
        <f t="shared" si="53"/>
        <v>2.0579150579150576E-2</v>
      </c>
      <c r="R111" s="39">
        <f t="shared" si="54"/>
        <v>1.8185328185328187E-2</v>
      </c>
    </row>
    <row r="112" spans="5:18" ht="15" x14ac:dyDescent="0.2">
      <c r="E112" s="39" t="s">
        <v>121</v>
      </c>
      <c r="F112" s="39">
        <f t="shared" si="50"/>
        <v>0</v>
      </c>
      <c r="G112" s="39">
        <f t="shared" si="50"/>
        <v>1.4285714285714285E-2</v>
      </c>
      <c r="H112" s="39">
        <f t="shared" si="50"/>
        <v>0</v>
      </c>
      <c r="I112" s="39">
        <f t="shared" si="50"/>
        <v>0</v>
      </c>
      <c r="J112" s="39">
        <f t="shared" si="50"/>
        <v>0</v>
      </c>
      <c r="K112" s="39">
        <f t="shared" si="50"/>
        <v>0</v>
      </c>
      <c r="L112" s="39">
        <f t="shared" si="50"/>
        <v>0</v>
      </c>
      <c r="M112" s="39">
        <f t="shared" si="50"/>
        <v>0</v>
      </c>
      <c r="N112" s="3">
        <v>4.0999999999999996</v>
      </c>
      <c r="O112" s="39">
        <f t="shared" si="51"/>
        <v>3.4843205574912892E-3</v>
      </c>
      <c r="P112" s="39">
        <f t="shared" si="52"/>
        <v>3.4843205574912892E-3</v>
      </c>
      <c r="Q112" s="39">
        <f t="shared" si="53"/>
        <v>0</v>
      </c>
      <c r="R112" s="39">
        <f t="shared" si="54"/>
        <v>0</v>
      </c>
    </row>
    <row r="113" spans="5:18" ht="15" x14ac:dyDescent="0.2">
      <c r="E113" s="39" t="s">
        <v>122</v>
      </c>
      <c r="F113" s="39">
        <f t="shared" si="50"/>
        <v>5.628571428571429</v>
      </c>
      <c r="G113" s="39">
        <f t="shared" si="50"/>
        <v>7.8571428571428568</v>
      </c>
      <c r="H113" s="39">
        <f t="shared" si="50"/>
        <v>10.4</v>
      </c>
      <c r="I113" s="39">
        <f t="shared" si="50"/>
        <v>11.042857142857143</v>
      </c>
      <c r="J113" s="39">
        <f t="shared" si="50"/>
        <v>4.0857142857142854</v>
      </c>
      <c r="K113" s="39">
        <f t="shared" si="50"/>
        <v>4.1142857142857139</v>
      </c>
      <c r="L113" s="39">
        <f t="shared" si="50"/>
        <v>3.5571428571428569</v>
      </c>
      <c r="M113" s="39">
        <f t="shared" si="50"/>
        <v>3.342857142857143</v>
      </c>
      <c r="N113" s="3">
        <v>14.4</v>
      </c>
      <c r="O113" s="39">
        <f t="shared" si="51"/>
        <v>0.54563492063492058</v>
      </c>
      <c r="P113" s="39">
        <f t="shared" si="52"/>
        <v>0.72222222222222221</v>
      </c>
      <c r="Q113" s="39">
        <f t="shared" si="53"/>
        <v>0.2857142857142857</v>
      </c>
      <c r="R113" s="39">
        <f t="shared" si="54"/>
        <v>0.24702380952380951</v>
      </c>
    </row>
    <row r="114" spans="5:18" ht="15" x14ac:dyDescent="0.2">
      <c r="E114" s="39" t="s">
        <v>123</v>
      </c>
      <c r="F114" s="39">
        <f t="shared" si="50"/>
        <v>0</v>
      </c>
      <c r="G114" s="39">
        <f t="shared" si="50"/>
        <v>1.3428571428571428E-3</v>
      </c>
      <c r="H114" s="39">
        <f t="shared" si="50"/>
        <v>0</v>
      </c>
      <c r="I114" s="39">
        <f t="shared" si="50"/>
        <v>0</v>
      </c>
      <c r="J114" s="39">
        <f t="shared" si="50"/>
        <v>0</v>
      </c>
      <c r="K114" s="39">
        <f t="shared" si="50"/>
        <v>0</v>
      </c>
      <c r="L114" s="39">
        <f t="shared" si="50"/>
        <v>0</v>
      </c>
      <c r="M114" s="39">
        <f t="shared" si="50"/>
        <v>0</v>
      </c>
      <c r="N114" s="3">
        <v>0.19</v>
      </c>
      <c r="O114" s="39">
        <f t="shared" si="51"/>
        <v>7.0676691729323303E-3</v>
      </c>
      <c r="P114" s="39">
        <f t="shared" si="52"/>
        <v>7.0676691729323303E-3</v>
      </c>
      <c r="Q114" s="39">
        <f t="shared" si="53"/>
        <v>0</v>
      </c>
      <c r="R114" s="39">
        <f t="shared" si="54"/>
        <v>0</v>
      </c>
    </row>
    <row r="115" spans="5:18" ht="15" x14ac:dyDescent="0.2">
      <c r="E115" s="39" t="s">
        <v>124</v>
      </c>
      <c r="F115" s="39">
        <f t="shared" si="50"/>
        <v>0</v>
      </c>
      <c r="G115" s="39">
        <f t="shared" si="50"/>
        <v>6.0714285714285714E-3</v>
      </c>
      <c r="H115" s="39">
        <f t="shared" si="50"/>
        <v>0</v>
      </c>
      <c r="I115" s="39">
        <f t="shared" si="50"/>
        <v>0</v>
      </c>
      <c r="J115" s="39">
        <f t="shared" si="50"/>
        <v>0</v>
      </c>
      <c r="K115" s="39">
        <f t="shared" si="50"/>
        <v>0</v>
      </c>
      <c r="L115" s="39">
        <f t="shared" si="50"/>
        <v>0</v>
      </c>
      <c r="M115" s="39">
        <f t="shared" si="50"/>
        <v>0</v>
      </c>
      <c r="N115" s="3">
        <v>6.5</v>
      </c>
      <c r="O115" s="39">
        <f t="shared" si="51"/>
        <v>9.3406593406593407E-4</v>
      </c>
      <c r="P115" s="39">
        <f t="shared" si="52"/>
        <v>9.3406593406593407E-4</v>
      </c>
      <c r="Q115" s="39">
        <f t="shared" si="53"/>
        <v>0</v>
      </c>
      <c r="R115" s="39">
        <f t="shared" si="54"/>
        <v>0</v>
      </c>
    </row>
    <row r="116" spans="5:18" ht="15" x14ac:dyDescent="0.2">
      <c r="E116" s="39" t="s">
        <v>125</v>
      </c>
      <c r="F116" s="39">
        <f t="shared" si="50"/>
        <v>0.7</v>
      </c>
      <c r="G116" s="39">
        <f t="shared" si="50"/>
        <v>0.90857142857142859</v>
      </c>
      <c r="H116" s="39">
        <f t="shared" si="50"/>
        <v>0.25142857142857145</v>
      </c>
      <c r="I116" s="39">
        <f t="shared" si="50"/>
        <v>0.85571428571428565</v>
      </c>
      <c r="J116" s="39">
        <f t="shared" si="50"/>
        <v>0.25285714285714284</v>
      </c>
      <c r="K116" s="39">
        <f t="shared" si="50"/>
        <v>0.36714285714285716</v>
      </c>
      <c r="L116" s="39">
        <f t="shared" si="50"/>
        <v>0.25714285714285712</v>
      </c>
      <c r="M116" s="39">
        <f t="shared" si="50"/>
        <v>0.21142857142857144</v>
      </c>
      <c r="N116" s="3">
        <v>20</v>
      </c>
      <c r="O116" s="39">
        <f t="shared" si="51"/>
        <v>4.5428571428571429E-2</v>
      </c>
      <c r="P116" s="39">
        <f t="shared" si="52"/>
        <v>4.5428571428571429E-2</v>
      </c>
      <c r="Q116" s="39">
        <f t="shared" si="53"/>
        <v>1.8357142857142857E-2</v>
      </c>
      <c r="R116" s="39">
        <f t="shared" si="54"/>
        <v>1.2857142857142855E-2</v>
      </c>
    </row>
    <row r="117" spans="5:18" ht="15" x14ac:dyDescent="0.2">
      <c r="E117" s="39" t="s">
        <v>126</v>
      </c>
      <c r="F117" s="39">
        <f t="shared" si="50"/>
        <v>0</v>
      </c>
      <c r="G117" s="39">
        <f t="shared" si="50"/>
        <v>0</v>
      </c>
      <c r="H117" s="39">
        <f t="shared" si="50"/>
        <v>0</v>
      </c>
      <c r="I117" s="39">
        <f t="shared" si="50"/>
        <v>0</v>
      </c>
      <c r="J117" s="39">
        <f t="shared" si="50"/>
        <v>0</v>
      </c>
      <c r="K117" s="39">
        <f t="shared" si="50"/>
        <v>0</v>
      </c>
      <c r="L117" s="39">
        <f t="shared" si="50"/>
        <v>0</v>
      </c>
      <c r="M117" s="39">
        <f t="shared" si="50"/>
        <v>0</v>
      </c>
      <c r="N117" s="3">
        <v>2.4</v>
      </c>
      <c r="O117" s="39">
        <f t="shared" si="51"/>
        <v>0</v>
      </c>
      <c r="P117" s="39">
        <f t="shared" si="52"/>
        <v>0</v>
      </c>
      <c r="Q117" s="39">
        <f t="shared" si="53"/>
        <v>0</v>
      </c>
      <c r="R117" s="39">
        <f t="shared" si="54"/>
        <v>0</v>
      </c>
    </row>
    <row r="118" spans="5:18" ht="15" x14ac:dyDescent="0.2">
      <c r="E118" s="39" t="s">
        <v>127</v>
      </c>
      <c r="F118" s="39">
        <f t="shared" si="50"/>
        <v>3.1E-2</v>
      </c>
      <c r="G118" s="39">
        <f t="shared" si="50"/>
        <v>3.2285714285714286E-2</v>
      </c>
      <c r="H118" s="39">
        <f t="shared" si="50"/>
        <v>2.9285714285714283E-2</v>
      </c>
      <c r="I118" s="39">
        <f t="shared" si="50"/>
        <v>2.5857142857142856E-2</v>
      </c>
      <c r="J118" s="39">
        <f t="shared" si="50"/>
        <v>0</v>
      </c>
      <c r="K118" s="39">
        <f t="shared" si="50"/>
        <v>0</v>
      </c>
      <c r="L118" s="39">
        <f t="shared" si="50"/>
        <v>0</v>
      </c>
      <c r="M118" s="39">
        <f t="shared" si="50"/>
        <v>0</v>
      </c>
      <c r="N118" s="3">
        <v>5.6</v>
      </c>
      <c r="O118" s="39">
        <f t="shared" si="51"/>
        <v>5.7653061224489802E-3</v>
      </c>
      <c r="P118" s="39">
        <f t="shared" si="52"/>
        <v>5.7653061224489802E-3</v>
      </c>
      <c r="Q118" s="39">
        <f t="shared" si="53"/>
        <v>0</v>
      </c>
      <c r="R118" s="39">
        <f t="shared" si="54"/>
        <v>0</v>
      </c>
    </row>
    <row r="119" spans="5:18" ht="15" x14ac:dyDescent="0.2">
      <c r="E119" s="39" t="s">
        <v>1</v>
      </c>
      <c r="F119" s="39">
        <f t="shared" si="50"/>
        <v>38.285714285714285</v>
      </c>
      <c r="G119" s="39">
        <f t="shared" si="50"/>
        <v>0</v>
      </c>
      <c r="H119" s="39">
        <f t="shared" si="50"/>
        <v>0</v>
      </c>
      <c r="I119" s="39">
        <f t="shared" si="50"/>
        <v>0</v>
      </c>
      <c r="J119" s="39">
        <f t="shared" si="50"/>
        <v>0</v>
      </c>
      <c r="K119" s="39">
        <f t="shared" si="50"/>
        <v>0</v>
      </c>
      <c r="L119" s="39">
        <f t="shared" si="50"/>
        <v>0</v>
      </c>
      <c r="M119" s="39">
        <f t="shared" si="50"/>
        <v>0</v>
      </c>
      <c r="N119" s="3">
        <v>28</v>
      </c>
      <c r="O119" s="39">
        <f t="shared" si="51"/>
        <v>1.3673469387755102</v>
      </c>
      <c r="P119" s="39">
        <f t="shared" si="52"/>
        <v>0</v>
      </c>
      <c r="Q119" s="39">
        <f t="shared" si="53"/>
        <v>0</v>
      </c>
      <c r="R119" s="39">
        <f t="shared" si="54"/>
        <v>0</v>
      </c>
    </row>
    <row r="120" spans="5:18" ht="15" x14ac:dyDescent="0.2">
      <c r="E120" s="39" t="s">
        <v>0</v>
      </c>
      <c r="F120" s="39">
        <f t="shared" ref="F120:M120" si="55">F20/70</f>
        <v>0</v>
      </c>
      <c r="G120" s="39">
        <f t="shared" si="55"/>
        <v>0</v>
      </c>
      <c r="H120" s="39">
        <f t="shared" si="55"/>
        <v>0</v>
      </c>
      <c r="I120" s="39">
        <f t="shared" si="55"/>
        <v>0</v>
      </c>
      <c r="J120" s="39">
        <f t="shared" si="55"/>
        <v>0</v>
      </c>
      <c r="K120" s="39">
        <f t="shared" si="55"/>
        <v>0</v>
      </c>
      <c r="L120" s="39">
        <f t="shared" si="55"/>
        <v>0</v>
      </c>
      <c r="M120" s="39">
        <f t="shared" si="55"/>
        <v>0</v>
      </c>
      <c r="N120" s="3">
        <v>170</v>
      </c>
      <c r="O120" s="39">
        <f t="shared" si="51"/>
        <v>0</v>
      </c>
      <c r="P120" s="39">
        <f t="shared" si="52"/>
        <v>0</v>
      </c>
      <c r="Q120" s="39">
        <f t="shared" si="53"/>
        <v>0</v>
      </c>
      <c r="R120" s="39">
        <f t="shared" si="54"/>
        <v>0</v>
      </c>
    </row>
    <row r="121" spans="5:18" ht="16" x14ac:dyDescent="0.2">
      <c r="E121" s="95" t="s">
        <v>99</v>
      </c>
      <c r="F121" s="97" t="s">
        <v>128</v>
      </c>
      <c r="G121" s="98"/>
      <c r="H121" s="98"/>
      <c r="I121" s="98"/>
      <c r="J121" s="98"/>
      <c r="K121" s="98"/>
      <c r="L121" s="98"/>
      <c r="M121" s="98"/>
      <c r="N121" s="59" t="s">
        <v>104</v>
      </c>
      <c r="O121" s="47" t="s">
        <v>105</v>
      </c>
      <c r="P121" s="48" t="s">
        <v>106</v>
      </c>
      <c r="Q121" s="48" t="s">
        <v>107</v>
      </c>
      <c r="R121" s="49" t="s">
        <v>108</v>
      </c>
    </row>
    <row r="122" spans="5:18" ht="15" x14ac:dyDescent="0.2">
      <c r="E122" s="96"/>
      <c r="F122" s="51">
        <v>80</v>
      </c>
      <c r="G122" s="51">
        <v>80</v>
      </c>
      <c r="H122" s="51">
        <v>80</v>
      </c>
      <c r="I122" s="51">
        <v>80</v>
      </c>
      <c r="J122" s="51">
        <v>80</v>
      </c>
      <c r="K122" s="51">
        <v>80</v>
      </c>
      <c r="L122" s="51">
        <v>80</v>
      </c>
      <c r="M122" s="51">
        <v>80</v>
      </c>
      <c r="N122" s="60" t="s">
        <v>113</v>
      </c>
      <c r="O122" s="47" t="s">
        <v>27</v>
      </c>
      <c r="P122" s="48" t="s">
        <v>27</v>
      </c>
      <c r="Q122" s="48" t="s">
        <v>27</v>
      </c>
      <c r="R122" s="49" t="s">
        <v>27</v>
      </c>
    </row>
    <row r="123" spans="5:18" ht="15" x14ac:dyDescent="0.2">
      <c r="E123" s="39" t="s">
        <v>114</v>
      </c>
      <c r="F123" s="39">
        <v>0</v>
      </c>
      <c r="G123" s="39">
        <v>0</v>
      </c>
      <c r="H123" s="39">
        <v>0</v>
      </c>
      <c r="I123" s="39">
        <v>0</v>
      </c>
      <c r="J123" s="39">
        <v>0</v>
      </c>
      <c r="K123" s="39">
        <v>0</v>
      </c>
      <c r="L123" s="39">
        <f>L3/$L$122</f>
        <v>3.325E-4</v>
      </c>
      <c r="M123" s="39">
        <v>0</v>
      </c>
      <c r="N123" s="7">
        <v>5.7000000000000002E-2</v>
      </c>
      <c r="O123" s="39">
        <f>MAX(F123:G123)/N123</f>
        <v>0</v>
      </c>
      <c r="P123" s="39">
        <f>MAX(G123:H123)/N123</f>
        <v>0</v>
      </c>
      <c r="Q123" s="39">
        <f>MAX(J123:K123)/N123</f>
        <v>0</v>
      </c>
      <c r="R123" s="39">
        <f>MAX(L123:M123)/N123</f>
        <v>5.8333333333333336E-3</v>
      </c>
    </row>
    <row r="124" spans="5:18" ht="15" x14ac:dyDescent="0.2">
      <c r="E124" s="39" t="s">
        <v>115</v>
      </c>
      <c r="F124" s="39">
        <f>F4/$F$122</f>
        <v>0.17375000000000002</v>
      </c>
      <c r="G124" s="39">
        <f>G4/$G$122</f>
        <v>0.21375000000000002</v>
      </c>
      <c r="H124" s="39">
        <f>H4/$H$122</f>
        <v>0.20499999999999999</v>
      </c>
      <c r="I124" s="39">
        <f>I4/$I$122</f>
        <v>0.2225</v>
      </c>
      <c r="J124" s="39">
        <f>J4/$J$122</f>
        <v>7.4499999999999997E-2</v>
      </c>
      <c r="K124" s="39">
        <f>K4/$K$122</f>
        <v>7.5499999999999998E-2</v>
      </c>
      <c r="L124" s="39">
        <f t="shared" ref="L124:L140" si="56">L4/$L$122</f>
        <v>5.0749999999999997E-2</v>
      </c>
      <c r="M124" s="39">
        <f>M4/$M$122</f>
        <v>4.3874999999999997E-2</v>
      </c>
      <c r="N124" s="7">
        <v>114.7</v>
      </c>
      <c r="O124" s="39">
        <f t="shared" ref="O124:O140" si="57">MAX(F124:G124)/N124</f>
        <v>1.8635571054925896E-3</v>
      </c>
      <c r="P124" s="39">
        <f t="shared" ref="P124:P140" si="58">MAX(G124:H124)/N124</f>
        <v>1.8635571054925896E-3</v>
      </c>
      <c r="Q124" s="39">
        <f t="shared" ref="Q124:Q140" si="59">MAX(J124:K124)/N124</f>
        <v>6.5823888404533564E-4</v>
      </c>
      <c r="R124" s="39">
        <f t="shared" ref="R124:R140" si="60">MAX(L124:M124)/N124</f>
        <v>4.424585876198779E-4</v>
      </c>
    </row>
    <row r="125" spans="5:18" ht="15" x14ac:dyDescent="0.2">
      <c r="E125" s="39" t="s">
        <v>116</v>
      </c>
      <c r="F125" s="39">
        <f t="shared" ref="F125:F140" si="61">F5/$F$122</f>
        <v>0.7</v>
      </c>
      <c r="G125" s="39">
        <f t="shared" ref="G125:G140" si="62">G5/$G$122</f>
        <v>0.73750000000000004</v>
      </c>
      <c r="H125" s="39">
        <f t="shared" ref="H125:H140" si="63">H5/$H$122</f>
        <v>0.73750000000000004</v>
      </c>
      <c r="I125" s="39">
        <f t="shared" ref="I125:I140" si="64">I5/$I$122</f>
        <v>0.82499999999999996</v>
      </c>
      <c r="J125" s="39">
        <f t="shared" ref="J125:J140" si="65">J5/$J$122</f>
        <v>0.41249999999999998</v>
      </c>
      <c r="K125" s="39">
        <f t="shared" ref="K125:K140" si="66">K5/$K$122</f>
        <v>0.375</v>
      </c>
      <c r="L125" s="39">
        <f t="shared" si="56"/>
        <v>0</v>
      </c>
      <c r="M125" s="39">
        <f t="shared" ref="M125:M140" si="67">M5/$M$122</f>
        <v>0</v>
      </c>
      <c r="N125" s="6">
        <v>2900</v>
      </c>
      <c r="O125" s="39">
        <f t="shared" si="57"/>
        <v>2.5431034482758624E-4</v>
      </c>
      <c r="P125" s="39">
        <f t="shared" si="58"/>
        <v>2.5431034482758624E-4</v>
      </c>
      <c r="Q125" s="39">
        <f t="shared" si="59"/>
        <v>1.4224137931034481E-4</v>
      </c>
      <c r="R125" s="39">
        <f t="shared" si="60"/>
        <v>0</v>
      </c>
    </row>
    <row r="126" spans="5:18" ht="15" x14ac:dyDescent="0.2">
      <c r="E126" s="39" t="s">
        <v>117</v>
      </c>
      <c r="F126" s="39">
        <f t="shared" si="61"/>
        <v>0.03</v>
      </c>
      <c r="G126" s="39">
        <f t="shared" si="62"/>
        <v>3.125E-2</v>
      </c>
      <c r="H126" s="39">
        <f t="shared" si="63"/>
        <v>0.04</v>
      </c>
      <c r="I126" s="39">
        <f t="shared" si="64"/>
        <v>3.3625000000000002E-2</v>
      </c>
      <c r="J126" s="39">
        <f t="shared" si="65"/>
        <v>8.5000000000000006E-3</v>
      </c>
      <c r="K126" s="39">
        <f t="shared" si="66"/>
        <v>7.7499999999999999E-3</v>
      </c>
      <c r="L126" s="39">
        <f t="shared" si="56"/>
        <v>0</v>
      </c>
      <c r="M126" s="39">
        <f t="shared" si="67"/>
        <v>0</v>
      </c>
      <c r="N126" s="3">
        <v>1.06</v>
      </c>
      <c r="O126" s="39">
        <f t="shared" si="57"/>
        <v>2.9481132075471695E-2</v>
      </c>
      <c r="P126" s="39">
        <f t="shared" si="58"/>
        <v>3.7735849056603772E-2</v>
      </c>
      <c r="Q126" s="39">
        <f t="shared" si="59"/>
        <v>8.0188679245283018E-3</v>
      </c>
      <c r="R126" s="39">
        <f t="shared" si="60"/>
        <v>0</v>
      </c>
    </row>
    <row r="127" spans="5:18" ht="15" x14ac:dyDescent="0.2">
      <c r="E127" s="39" t="s">
        <v>118</v>
      </c>
      <c r="F127" s="39">
        <f t="shared" si="61"/>
        <v>0.70750000000000002</v>
      </c>
      <c r="G127" s="39">
        <f t="shared" si="62"/>
        <v>0.32750000000000001</v>
      </c>
      <c r="H127" s="39">
        <f t="shared" si="63"/>
        <v>0.34875</v>
      </c>
      <c r="I127" s="39">
        <f t="shared" si="64"/>
        <v>0.29125000000000001</v>
      </c>
      <c r="J127" s="39">
        <f t="shared" si="65"/>
        <v>0.45250000000000001</v>
      </c>
      <c r="K127" s="39">
        <f t="shared" si="66"/>
        <v>0.315</v>
      </c>
      <c r="L127" s="39">
        <f t="shared" si="56"/>
        <v>0.13125000000000001</v>
      </c>
      <c r="M127" s="39">
        <f t="shared" si="67"/>
        <v>0.13374999999999998</v>
      </c>
      <c r="N127" s="3">
        <v>6.3</v>
      </c>
      <c r="O127" s="39">
        <f t="shared" si="57"/>
        <v>0.11230158730158731</v>
      </c>
      <c r="P127" s="39">
        <f t="shared" si="58"/>
        <v>5.5357142857142862E-2</v>
      </c>
      <c r="Q127" s="39">
        <f t="shared" si="59"/>
        <v>7.1825396825396834E-2</v>
      </c>
      <c r="R127" s="39">
        <f t="shared" si="60"/>
        <v>2.1230158730158728E-2</v>
      </c>
    </row>
    <row r="128" spans="5:18" ht="15" x14ac:dyDescent="0.2">
      <c r="E128" s="39" t="s">
        <v>16</v>
      </c>
      <c r="F128" s="39">
        <f t="shared" si="61"/>
        <v>0.03</v>
      </c>
      <c r="G128" s="39">
        <f t="shared" si="62"/>
        <v>3.2500000000000001E-2</v>
      </c>
      <c r="H128" s="39">
        <f t="shared" si="63"/>
        <v>0</v>
      </c>
      <c r="I128" s="39">
        <f t="shared" si="64"/>
        <v>0</v>
      </c>
      <c r="J128" s="39">
        <f t="shared" si="65"/>
        <v>0</v>
      </c>
      <c r="K128" s="39">
        <f t="shared" si="66"/>
        <v>0</v>
      </c>
      <c r="L128" s="39">
        <f t="shared" si="56"/>
        <v>0</v>
      </c>
      <c r="M128" s="39">
        <f t="shared" si="67"/>
        <v>0</v>
      </c>
      <c r="N128" s="3">
        <v>1650</v>
      </c>
      <c r="O128" s="39">
        <f t="shared" si="57"/>
        <v>1.9696969696969697E-5</v>
      </c>
      <c r="P128" s="39">
        <f t="shared" si="58"/>
        <v>1.9696969696969697E-5</v>
      </c>
      <c r="Q128" s="39">
        <f t="shared" si="59"/>
        <v>0</v>
      </c>
      <c r="R128" s="39">
        <f t="shared" si="60"/>
        <v>0</v>
      </c>
    </row>
    <row r="129" spans="5:18" ht="15" x14ac:dyDescent="0.2">
      <c r="E129" s="39" t="s">
        <v>119</v>
      </c>
      <c r="F129" s="39">
        <f t="shared" si="61"/>
        <v>3.3875000000000002</v>
      </c>
      <c r="G129" s="39">
        <f t="shared" si="62"/>
        <v>4.2625000000000002</v>
      </c>
      <c r="H129" s="39">
        <f t="shared" si="63"/>
        <v>4.95</v>
      </c>
      <c r="I129" s="39">
        <f t="shared" si="64"/>
        <v>5.1624999999999996</v>
      </c>
      <c r="J129" s="39">
        <f t="shared" si="65"/>
        <v>1.4125000000000001</v>
      </c>
      <c r="K129" s="39">
        <f t="shared" si="66"/>
        <v>1.4750000000000001</v>
      </c>
      <c r="L129" s="39">
        <f t="shared" si="56"/>
        <v>0.69000000000000006</v>
      </c>
      <c r="M129" s="39">
        <f t="shared" si="67"/>
        <v>0.70499999999999996</v>
      </c>
      <c r="N129" s="3">
        <v>34</v>
      </c>
      <c r="O129" s="39">
        <f t="shared" si="57"/>
        <v>0.12536764705882353</v>
      </c>
      <c r="P129" s="39">
        <f t="shared" si="58"/>
        <v>0.14558823529411766</v>
      </c>
      <c r="Q129" s="39">
        <f t="shared" si="59"/>
        <v>4.3382352941176476E-2</v>
      </c>
      <c r="R129" s="39">
        <f t="shared" si="60"/>
        <v>2.0735294117647057E-2</v>
      </c>
    </row>
    <row r="130" spans="5:18" ht="15" x14ac:dyDescent="0.2">
      <c r="E130" s="39" t="s">
        <v>120</v>
      </c>
      <c r="F130" s="39">
        <f t="shared" si="61"/>
        <v>0</v>
      </c>
      <c r="G130" s="39">
        <f t="shared" si="62"/>
        <v>0</v>
      </c>
      <c r="H130" s="39">
        <f t="shared" si="63"/>
        <v>0</v>
      </c>
      <c r="I130" s="39">
        <f t="shared" si="64"/>
        <v>0</v>
      </c>
      <c r="J130" s="39">
        <f t="shared" si="65"/>
        <v>0</v>
      </c>
      <c r="K130" s="39">
        <f t="shared" si="66"/>
        <v>0</v>
      </c>
      <c r="L130" s="39">
        <f t="shared" si="56"/>
        <v>0</v>
      </c>
      <c r="M130" s="39">
        <f t="shared" si="67"/>
        <v>0</v>
      </c>
      <c r="N130" s="3">
        <v>11900</v>
      </c>
      <c r="O130" s="39">
        <f t="shared" si="57"/>
        <v>0</v>
      </c>
      <c r="P130" s="39">
        <f t="shared" si="58"/>
        <v>0</v>
      </c>
      <c r="Q130" s="39">
        <f t="shared" si="59"/>
        <v>0</v>
      </c>
      <c r="R130" s="39">
        <f t="shared" si="60"/>
        <v>0</v>
      </c>
    </row>
    <row r="131" spans="5:18" ht="15" x14ac:dyDescent="0.2">
      <c r="E131" s="39" t="s">
        <v>11</v>
      </c>
      <c r="F131" s="39">
        <f t="shared" si="61"/>
        <v>0.62750000000000006</v>
      </c>
      <c r="G131" s="39">
        <f t="shared" si="62"/>
        <v>0.82</v>
      </c>
      <c r="H131" s="39">
        <f t="shared" si="63"/>
        <v>1.3</v>
      </c>
      <c r="I131" s="39">
        <f t="shared" si="64"/>
        <v>1.325</v>
      </c>
      <c r="J131" s="39">
        <f t="shared" si="65"/>
        <v>0.65250000000000008</v>
      </c>
      <c r="K131" s="39">
        <f t="shared" si="66"/>
        <v>0.66625000000000001</v>
      </c>
      <c r="L131" s="39">
        <f t="shared" si="56"/>
        <v>0.58875</v>
      </c>
      <c r="M131" s="39">
        <f t="shared" si="67"/>
        <v>0.5625</v>
      </c>
      <c r="N131" s="3">
        <v>37</v>
      </c>
      <c r="O131" s="39">
        <f t="shared" si="57"/>
        <v>2.2162162162162161E-2</v>
      </c>
      <c r="P131" s="39">
        <f t="shared" si="58"/>
        <v>3.5135135135135137E-2</v>
      </c>
      <c r="Q131" s="39">
        <f t="shared" si="59"/>
        <v>1.8006756756756757E-2</v>
      </c>
      <c r="R131" s="39">
        <f t="shared" si="60"/>
        <v>1.5912162162162163E-2</v>
      </c>
    </row>
    <row r="132" spans="5:18" ht="15" x14ac:dyDescent="0.2">
      <c r="E132" s="39" t="s">
        <v>121</v>
      </c>
      <c r="F132" s="39">
        <f t="shared" si="61"/>
        <v>0</v>
      </c>
      <c r="G132" s="39">
        <f t="shared" si="62"/>
        <v>1.2500000000000001E-2</v>
      </c>
      <c r="H132" s="39">
        <f t="shared" si="63"/>
        <v>0</v>
      </c>
      <c r="I132" s="39">
        <f t="shared" si="64"/>
        <v>0</v>
      </c>
      <c r="J132" s="39">
        <f t="shared" si="65"/>
        <v>0</v>
      </c>
      <c r="K132" s="39">
        <f t="shared" si="66"/>
        <v>0</v>
      </c>
      <c r="L132" s="39">
        <f t="shared" si="56"/>
        <v>0</v>
      </c>
      <c r="M132" s="39">
        <f t="shared" si="67"/>
        <v>0</v>
      </c>
      <c r="N132" s="3">
        <v>4.0999999999999996</v>
      </c>
      <c r="O132" s="39">
        <f t="shared" si="57"/>
        <v>3.0487804878048786E-3</v>
      </c>
      <c r="P132" s="39">
        <f t="shared" si="58"/>
        <v>3.0487804878048786E-3</v>
      </c>
      <c r="Q132" s="39">
        <f t="shared" si="59"/>
        <v>0</v>
      </c>
      <c r="R132" s="39">
        <f t="shared" si="60"/>
        <v>0</v>
      </c>
    </row>
    <row r="133" spans="5:18" ht="15" x14ac:dyDescent="0.2">
      <c r="E133" s="39" t="s">
        <v>122</v>
      </c>
      <c r="F133" s="39">
        <f t="shared" si="61"/>
        <v>4.9249999999999998</v>
      </c>
      <c r="G133" s="39">
        <f t="shared" si="62"/>
        <v>6.875</v>
      </c>
      <c r="H133" s="39">
        <f t="shared" si="63"/>
        <v>9.1</v>
      </c>
      <c r="I133" s="39">
        <f t="shared" si="64"/>
        <v>9.6624999999999996</v>
      </c>
      <c r="J133" s="39">
        <f t="shared" si="65"/>
        <v>3.5750000000000002</v>
      </c>
      <c r="K133" s="39">
        <f t="shared" si="66"/>
        <v>3.6</v>
      </c>
      <c r="L133" s="39">
        <f t="shared" si="56"/>
        <v>3.1124999999999998</v>
      </c>
      <c r="M133" s="39">
        <f t="shared" si="67"/>
        <v>2.9249999999999998</v>
      </c>
      <c r="N133" s="3">
        <v>14.4</v>
      </c>
      <c r="O133" s="39">
        <f t="shared" si="57"/>
        <v>0.47743055555555552</v>
      </c>
      <c r="P133" s="39">
        <f t="shared" si="58"/>
        <v>0.63194444444444442</v>
      </c>
      <c r="Q133" s="39">
        <f t="shared" si="59"/>
        <v>0.25</v>
      </c>
      <c r="R133" s="39">
        <f t="shared" si="60"/>
        <v>0.21614583333333331</v>
      </c>
    </row>
    <row r="134" spans="5:18" ht="15" x14ac:dyDescent="0.2">
      <c r="E134" s="39" t="s">
        <v>123</v>
      </c>
      <c r="F134" s="39">
        <f t="shared" si="61"/>
        <v>0</v>
      </c>
      <c r="G134" s="39">
        <f t="shared" si="62"/>
        <v>1.175E-3</v>
      </c>
      <c r="H134" s="39">
        <f t="shared" si="63"/>
        <v>0</v>
      </c>
      <c r="I134" s="39">
        <f t="shared" si="64"/>
        <v>0</v>
      </c>
      <c r="J134" s="39">
        <f t="shared" si="65"/>
        <v>0</v>
      </c>
      <c r="K134" s="39">
        <f t="shared" si="66"/>
        <v>0</v>
      </c>
      <c r="L134" s="39">
        <f t="shared" si="56"/>
        <v>0</v>
      </c>
      <c r="M134" s="39">
        <f t="shared" si="67"/>
        <v>0</v>
      </c>
      <c r="N134" s="3">
        <v>0.19</v>
      </c>
      <c r="O134" s="39">
        <f t="shared" si="57"/>
        <v>6.1842105263157894E-3</v>
      </c>
      <c r="P134" s="39">
        <f t="shared" si="58"/>
        <v>6.1842105263157894E-3</v>
      </c>
      <c r="Q134" s="39">
        <f t="shared" si="59"/>
        <v>0</v>
      </c>
      <c r="R134" s="39">
        <f t="shared" si="60"/>
        <v>0</v>
      </c>
    </row>
    <row r="135" spans="5:18" ht="15" x14ac:dyDescent="0.2">
      <c r="E135" s="39" t="s">
        <v>124</v>
      </c>
      <c r="F135" s="39">
        <f t="shared" si="61"/>
        <v>0</v>
      </c>
      <c r="G135" s="39">
        <f t="shared" si="62"/>
        <v>5.3124999999999995E-3</v>
      </c>
      <c r="H135" s="39">
        <f t="shared" si="63"/>
        <v>0</v>
      </c>
      <c r="I135" s="39">
        <f t="shared" si="64"/>
        <v>0</v>
      </c>
      <c r="J135" s="39">
        <f t="shared" si="65"/>
        <v>0</v>
      </c>
      <c r="K135" s="39">
        <f t="shared" si="66"/>
        <v>0</v>
      </c>
      <c r="L135" s="39">
        <f t="shared" si="56"/>
        <v>0</v>
      </c>
      <c r="M135" s="39">
        <f t="shared" si="67"/>
        <v>0</v>
      </c>
      <c r="N135" s="3">
        <v>6.5</v>
      </c>
      <c r="O135" s="39">
        <f t="shared" si="57"/>
        <v>8.1730769230769227E-4</v>
      </c>
      <c r="P135" s="39">
        <f t="shared" si="58"/>
        <v>8.1730769230769227E-4</v>
      </c>
      <c r="Q135" s="39">
        <f t="shared" si="59"/>
        <v>0</v>
      </c>
      <c r="R135" s="39">
        <f t="shared" si="60"/>
        <v>0</v>
      </c>
    </row>
    <row r="136" spans="5:18" ht="15" x14ac:dyDescent="0.2">
      <c r="E136" s="39" t="s">
        <v>125</v>
      </c>
      <c r="F136" s="39">
        <f t="shared" si="61"/>
        <v>0.61250000000000004</v>
      </c>
      <c r="G136" s="39">
        <f t="shared" si="62"/>
        <v>0.79500000000000004</v>
      </c>
      <c r="H136" s="39">
        <f t="shared" si="63"/>
        <v>0.22000000000000003</v>
      </c>
      <c r="I136" s="39">
        <f t="shared" si="64"/>
        <v>0.74875000000000003</v>
      </c>
      <c r="J136" s="39">
        <f t="shared" si="65"/>
        <v>0.22125</v>
      </c>
      <c r="K136" s="39">
        <f t="shared" si="66"/>
        <v>0.32124999999999998</v>
      </c>
      <c r="L136" s="39">
        <f t="shared" si="56"/>
        <v>0.22500000000000001</v>
      </c>
      <c r="M136" s="39">
        <f t="shared" si="67"/>
        <v>0.185</v>
      </c>
      <c r="N136" s="3">
        <v>20</v>
      </c>
      <c r="O136" s="39">
        <f t="shared" si="57"/>
        <v>3.9750000000000001E-2</v>
      </c>
      <c r="P136" s="39">
        <f t="shared" si="58"/>
        <v>3.9750000000000001E-2</v>
      </c>
      <c r="Q136" s="39">
        <f t="shared" si="59"/>
        <v>1.60625E-2</v>
      </c>
      <c r="R136" s="39">
        <f t="shared" si="60"/>
        <v>1.125E-2</v>
      </c>
    </row>
    <row r="137" spans="5:18" ht="15" x14ac:dyDescent="0.2">
      <c r="E137" s="39" t="s">
        <v>126</v>
      </c>
      <c r="F137" s="39">
        <f t="shared" si="61"/>
        <v>0</v>
      </c>
      <c r="G137" s="39">
        <f t="shared" si="62"/>
        <v>0</v>
      </c>
      <c r="H137" s="39">
        <f t="shared" si="63"/>
        <v>0</v>
      </c>
      <c r="I137" s="39">
        <f t="shared" si="64"/>
        <v>0</v>
      </c>
      <c r="J137" s="39">
        <f t="shared" si="65"/>
        <v>0</v>
      </c>
      <c r="K137" s="39">
        <f t="shared" si="66"/>
        <v>0</v>
      </c>
      <c r="L137" s="39">
        <f t="shared" si="56"/>
        <v>0</v>
      </c>
      <c r="M137" s="39">
        <f t="shared" si="67"/>
        <v>0</v>
      </c>
      <c r="N137" s="3">
        <v>2.4</v>
      </c>
      <c r="O137" s="39">
        <f t="shared" si="57"/>
        <v>0</v>
      </c>
      <c r="P137" s="39">
        <f t="shared" si="58"/>
        <v>0</v>
      </c>
      <c r="Q137" s="39">
        <f t="shared" si="59"/>
        <v>0</v>
      </c>
      <c r="R137" s="39">
        <f t="shared" si="60"/>
        <v>0</v>
      </c>
    </row>
    <row r="138" spans="5:18" ht="15" x14ac:dyDescent="0.2">
      <c r="E138" s="39" t="s">
        <v>127</v>
      </c>
      <c r="F138" s="39">
        <f t="shared" si="61"/>
        <v>2.7125E-2</v>
      </c>
      <c r="G138" s="39">
        <f t="shared" si="62"/>
        <v>2.8249999999999997E-2</v>
      </c>
      <c r="H138" s="39">
        <f t="shared" si="63"/>
        <v>2.5624999999999998E-2</v>
      </c>
      <c r="I138" s="39">
        <f t="shared" si="64"/>
        <v>2.2624999999999999E-2</v>
      </c>
      <c r="J138" s="39">
        <f t="shared" si="65"/>
        <v>0</v>
      </c>
      <c r="K138" s="39">
        <f t="shared" si="66"/>
        <v>0</v>
      </c>
      <c r="L138" s="39">
        <f t="shared" si="56"/>
        <v>0</v>
      </c>
      <c r="M138" s="39">
        <f t="shared" si="67"/>
        <v>0</v>
      </c>
      <c r="N138" s="3">
        <v>5.6</v>
      </c>
      <c r="O138" s="39">
        <f t="shared" si="57"/>
        <v>5.0446428571428569E-3</v>
      </c>
      <c r="P138" s="39">
        <f t="shared" si="58"/>
        <v>5.0446428571428569E-3</v>
      </c>
      <c r="Q138" s="39">
        <f t="shared" si="59"/>
        <v>0</v>
      </c>
      <c r="R138" s="39">
        <f t="shared" si="60"/>
        <v>0</v>
      </c>
    </row>
    <row r="139" spans="5:18" ht="15" x14ac:dyDescent="0.2">
      <c r="E139" s="39" t="s">
        <v>1</v>
      </c>
      <c r="F139" s="39">
        <f t="shared" si="61"/>
        <v>33.5</v>
      </c>
      <c r="G139" s="39">
        <f t="shared" si="62"/>
        <v>0</v>
      </c>
      <c r="H139" s="39">
        <f t="shared" si="63"/>
        <v>0</v>
      </c>
      <c r="I139" s="39">
        <f t="shared" si="64"/>
        <v>0</v>
      </c>
      <c r="J139" s="39">
        <f t="shared" si="65"/>
        <v>0</v>
      </c>
      <c r="K139" s="39">
        <f t="shared" si="66"/>
        <v>0</v>
      </c>
      <c r="L139" s="39">
        <f t="shared" si="56"/>
        <v>0</v>
      </c>
      <c r="M139" s="39">
        <f t="shared" si="67"/>
        <v>0</v>
      </c>
      <c r="N139" s="3">
        <v>28</v>
      </c>
      <c r="O139" s="39">
        <f t="shared" si="57"/>
        <v>1.1964285714285714</v>
      </c>
      <c r="P139" s="39">
        <f t="shared" si="58"/>
        <v>0</v>
      </c>
      <c r="Q139" s="39">
        <f t="shared" si="59"/>
        <v>0</v>
      </c>
      <c r="R139" s="39">
        <f t="shared" si="60"/>
        <v>0</v>
      </c>
    </row>
    <row r="140" spans="5:18" ht="15" x14ac:dyDescent="0.2">
      <c r="E140" s="39" t="s">
        <v>0</v>
      </c>
      <c r="F140" s="39">
        <f t="shared" si="61"/>
        <v>0</v>
      </c>
      <c r="G140" s="39">
        <f t="shared" si="62"/>
        <v>0</v>
      </c>
      <c r="H140" s="39">
        <f t="shared" si="63"/>
        <v>0</v>
      </c>
      <c r="I140" s="39">
        <f t="shared" si="64"/>
        <v>0</v>
      </c>
      <c r="J140" s="39">
        <f t="shared" si="65"/>
        <v>0</v>
      </c>
      <c r="K140" s="39">
        <f t="shared" si="66"/>
        <v>0</v>
      </c>
      <c r="L140" s="39">
        <f t="shared" si="56"/>
        <v>0</v>
      </c>
      <c r="M140" s="39">
        <f t="shared" si="67"/>
        <v>0</v>
      </c>
      <c r="N140" s="3">
        <v>170</v>
      </c>
      <c r="O140" s="39">
        <f t="shared" si="57"/>
        <v>0</v>
      </c>
      <c r="P140" s="39">
        <f t="shared" si="58"/>
        <v>0</v>
      </c>
      <c r="Q140" s="39">
        <f t="shared" si="59"/>
        <v>0</v>
      </c>
      <c r="R140" s="39">
        <f t="shared" si="60"/>
        <v>0</v>
      </c>
    </row>
    <row r="141" spans="5:18" ht="16" x14ac:dyDescent="0.2">
      <c r="E141" s="95" t="s">
        <v>99</v>
      </c>
      <c r="F141" s="97" t="s">
        <v>128</v>
      </c>
      <c r="G141" s="98"/>
      <c r="H141" s="98"/>
      <c r="I141" s="98"/>
      <c r="J141" s="98"/>
      <c r="K141" s="98"/>
      <c r="L141" s="98"/>
      <c r="M141" s="98"/>
      <c r="N141" s="59" t="s">
        <v>104</v>
      </c>
      <c r="O141" s="47" t="s">
        <v>105</v>
      </c>
      <c r="P141" s="48" t="s">
        <v>106</v>
      </c>
      <c r="Q141" s="48" t="s">
        <v>107</v>
      </c>
      <c r="R141" s="49" t="s">
        <v>108</v>
      </c>
    </row>
    <row r="142" spans="5:18" ht="15" x14ac:dyDescent="0.2">
      <c r="E142" s="96"/>
      <c r="F142" s="65">
        <v>100</v>
      </c>
      <c r="G142" s="65">
        <v>100</v>
      </c>
      <c r="H142" s="65">
        <v>100</v>
      </c>
      <c r="I142" s="65">
        <v>100</v>
      </c>
      <c r="J142" s="65">
        <v>100</v>
      </c>
      <c r="K142" s="65">
        <v>100</v>
      </c>
      <c r="L142" s="65">
        <v>100</v>
      </c>
      <c r="M142" s="65">
        <v>100</v>
      </c>
      <c r="N142" s="60" t="s">
        <v>113</v>
      </c>
      <c r="O142" s="47" t="s">
        <v>27</v>
      </c>
      <c r="P142" s="48" t="s">
        <v>27</v>
      </c>
      <c r="Q142" s="48" t="s">
        <v>27</v>
      </c>
      <c r="R142" s="49" t="s">
        <v>27</v>
      </c>
    </row>
    <row r="143" spans="5:18" ht="15" x14ac:dyDescent="0.2">
      <c r="E143" s="39" t="s">
        <v>114</v>
      </c>
      <c r="F143" s="39">
        <v>0</v>
      </c>
      <c r="G143" s="39">
        <v>0</v>
      </c>
      <c r="H143" s="39">
        <v>0</v>
      </c>
      <c r="I143" s="39">
        <v>0</v>
      </c>
      <c r="J143" s="39">
        <v>0</v>
      </c>
      <c r="K143" s="39">
        <v>0</v>
      </c>
      <c r="L143" s="39">
        <f>L3/$L$142</f>
        <v>2.6599999999999996E-4</v>
      </c>
      <c r="M143" s="39">
        <v>0</v>
      </c>
      <c r="N143" s="7">
        <v>5.7000000000000002E-2</v>
      </c>
      <c r="O143" s="39">
        <f>MAX(F143:G143)/N143</f>
        <v>0</v>
      </c>
      <c r="P143" s="39">
        <f>MAX(G143:H143)/N143</f>
        <v>0</v>
      </c>
      <c r="Q143" s="39">
        <f>MAX(J143:K143)/N143</f>
        <v>0</v>
      </c>
      <c r="R143" s="39">
        <f>MAX(L143:M143)/N143</f>
        <v>4.6666666666666662E-3</v>
      </c>
    </row>
    <row r="144" spans="5:18" ht="15" x14ac:dyDescent="0.2">
      <c r="E144" s="39" t="s">
        <v>115</v>
      </c>
      <c r="F144" s="39">
        <f>F4/$F$142</f>
        <v>0.13900000000000001</v>
      </c>
      <c r="G144" s="39">
        <f>G4/$G$142</f>
        <v>0.17100000000000001</v>
      </c>
      <c r="H144" s="39">
        <f>H4/$H$142</f>
        <v>0.16399999999999998</v>
      </c>
      <c r="I144" s="39">
        <f>I4/$I$142</f>
        <v>0.17800000000000002</v>
      </c>
      <c r="J144" s="39">
        <f>J4/$J$142</f>
        <v>5.96E-2</v>
      </c>
      <c r="K144" s="39">
        <f>K4/$K$142</f>
        <v>6.0400000000000002E-2</v>
      </c>
      <c r="L144" s="39">
        <f t="shared" ref="L144:L160" si="68">L4/$L$142</f>
        <v>4.0599999999999997E-2</v>
      </c>
      <c r="M144" s="39">
        <f>M4/$M$142</f>
        <v>3.5099999999999999E-2</v>
      </c>
      <c r="N144" s="7">
        <v>114.7</v>
      </c>
      <c r="O144" s="39">
        <f t="shared" ref="O144:O160" si="69">MAX(F144:G144)/N144</f>
        <v>1.4908456843940716E-3</v>
      </c>
      <c r="P144" s="39">
        <f t="shared" ref="P144:P160" si="70">MAX(G144:H144)/N144</f>
        <v>1.4908456843940716E-3</v>
      </c>
      <c r="Q144" s="39">
        <f t="shared" ref="Q144:Q160" si="71">MAX(J144:K144)/N144</f>
        <v>5.2659110723626856E-4</v>
      </c>
      <c r="R144" s="39">
        <f t="shared" ref="R144:R160" si="72">MAX(L144:M144)/N144</f>
        <v>3.5396687009590233E-4</v>
      </c>
    </row>
    <row r="145" spans="5:18" ht="15" x14ac:dyDescent="0.2">
      <c r="E145" s="39" t="s">
        <v>116</v>
      </c>
      <c r="F145" s="39">
        <f t="shared" ref="F145:F160" si="73">F5/$F$142</f>
        <v>0.56000000000000005</v>
      </c>
      <c r="G145" s="39">
        <f t="shared" ref="G145:G160" si="74">G5/$G$142</f>
        <v>0.59</v>
      </c>
      <c r="H145" s="39">
        <f t="shared" ref="H145:H160" si="75">H5/$H$142</f>
        <v>0.59</v>
      </c>
      <c r="I145" s="39">
        <f t="shared" ref="I145:I160" si="76">I5/$I$142</f>
        <v>0.66</v>
      </c>
      <c r="J145" s="39">
        <f t="shared" ref="J145:J160" si="77">J5/$J$142</f>
        <v>0.33</v>
      </c>
      <c r="K145" s="39">
        <f t="shared" ref="K145:K160" si="78">K5/$K$142</f>
        <v>0.3</v>
      </c>
      <c r="L145" s="39">
        <f t="shared" si="68"/>
        <v>0</v>
      </c>
      <c r="M145" s="39">
        <f t="shared" ref="M145:M160" si="79">M5/$M$142</f>
        <v>0</v>
      </c>
      <c r="N145" s="6">
        <v>2900</v>
      </c>
      <c r="O145" s="39">
        <f t="shared" si="69"/>
        <v>2.0344827586206895E-4</v>
      </c>
      <c r="P145" s="39">
        <f t="shared" si="70"/>
        <v>2.0344827586206895E-4</v>
      </c>
      <c r="Q145" s="39">
        <f t="shared" si="71"/>
        <v>1.1379310344827586E-4</v>
      </c>
      <c r="R145" s="39">
        <f t="shared" si="72"/>
        <v>0</v>
      </c>
    </row>
    <row r="146" spans="5:18" ht="15" x14ac:dyDescent="0.2">
      <c r="E146" s="39" t="s">
        <v>117</v>
      </c>
      <c r="F146" s="39">
        <f t="shared" si="73"/>
        <v>2.4E-2</v>
      </c>
      <c r="G146" s="39">
        <f t="shared" si="74"/>
        <v>2.5000000000000001E-2</v>
      </c>
      <c r="H146" s="39">
        <f t="shared" si="75"/>
        <v>3.2000000000000001E-2</v>
      </c>
      <c r="I146" s="39">
        <f t="shared" si="76"/>
        <v>2.69E-2</v>
      </c>
      <c r="J146" s="39">
        <f t="shared" si="77"/>
        <v>6.8000000000000005E-3</v>
      </c>
      <c r="K146" s="39">
        <f t="shared" si="78"/>
        <v>6.1999999999999998E-3</v>
      </c>
      <c r="L146" s="39">
        <f t="shared" si="68"/>
        <v>0</v>
      </c>
      <c r="M146" s="39">
        <f t="shared" si="79"/>
        <v>0</v>
      </c>
      <c r="N146" s="3">
        <v>1.06</v>
      </c>
      <c r="O146" s="39">
        <f t="shared" si="69"/>
        <v>2.358490566037736E-2</v>
      </c>
      <c r="P146" s="39">
        <f t="shared" si="70"/>
        <v>3.0188679245283019E-2</v>
      </c>
      <c r="Q146" s="39">
        <f t="shared" si="71"/>
        <v>6.4150943396226413E-3</v>
      </c>
      <c r="R146" s="39">
        <f t="shared" si="72"/>
        <v>0</v>
      </c>
    </row>
    <row r="147" spans="5:18" ht="15" x14ac:dyDescent="0.2">
      <c r="E147" s="39" t="s">
        <v>118</v>
      </c>
      <c r="F147" s="39">
        <f t="shared" si="73"/>
        <v>0.56600000000000006</v>
      </c>
      <c r="G147" s="39">
        <f t="shared" si="74"/>
        <v>0.26200000000000001</v>
      </c>
      <c r="H147" s="39">
        <f t="shared" si="75"/>
        <v>0.27899999999999997</v>
      </c>
      <c r="I147" s="39">
        <f t="shared" si="76"/>
        <v>0.23300000000000001</v>
      </c>
      <c r="J147" s="39">
        <f t="shared" si="77"/>
        <v>0.36200000000000004</v>
      </c>
      <c r="K147" s="39">
        <f t="shared" si="78"/>
        <v>0.252</v>
      </c>
      <c r="L147" s="39">
        <f t="shared" si="68"/>
        <v>0.105</v>
      </c>
      <c r="M147" s="39">
        <f t="shared" si="79"/>
        <v>0.107</v>
      </c>
      <c r="N147" s="3">
        <v>6.3</v>
      </c>
      <c r="O147" s="39">
        <f t="shared" si="69"/>
        <v>8.9841269841269847E-2</v>
      </c>
      <c r="P147" s="39">
        <f t="shared" si="70"/>
        <v>4.4285714285714282E-2</v>
      </c>
      <c r="Q147" s="39">
        <f t="shared" si="71"/>
        <v>5.7460317460317469E-2</v>
      </c>
      <c r="R147" s="39">
        <f t="shared" si="72"/>
        <v>1.6984126984126983E-2</v>
      </c>
    </row>
    <row r="148" spans="5:18" ht="15" x14ac:dyDescent="0.2">
      <c r="E148" s="39" t="s">
        <v>16</v>
      </c>
      <c r="F148" s="39">
        <f t="shared" si="73"/>
        <v>2.4E-2</v>
      </c>
      <c r="G148" s="39">
        <f t="shared" si="74"/>
        <v>2.6000000000000002E-2</v>
      </c>
      <c r="H148" s="39">
        <f t="shared" si="75"/>
        <v>0</v>
      </c>
      <c r="I148" s="39">
        <f t="shared" si="76"/>
        <v>0</v>
      </c>
      <c r="J148" s="39">
        <f t="shared" si="77"/>
        <v>0</v>
      </c>
      <c r="K148" s="39">
        <f t="shared" si="78"/>
        <v>0</v>
      </c>
      <c r="L148" s="39">
        <f t="shared" si="68"/>
        <v>0</v>
      </c>
      <c r="M148" s="39">
        <f t="shared" si="79"/>
        <v>0</v>
      </c>
      <c r="N148" s="3">
        <v>1650</v>
      </c>
      <c r="O148" s="39">
        <f t="shared" si="69"/>
        <v>1.5757575757575759E-5</v>
      </c>
      <c r="P148" s="39">
        <f t="shared" si="70"/>
        <v>1.5757575757575759E-5</v>
      </c>
      <c r="Q148" s="39">
        <f t="shared" si="71"/>
        <v>0</v>
      </c>
      <c r="R148" s="39">
        <f t="shared" si="72"/>
        <v>0</v>
      </c>
    </row>
    <row r="149" spans="5:18" ht="15" x14ac:dyDescent="0.2">
      <c r="E149" s="39" t="s">
        <v>119</v>
      </c>
      <c r="F149" s="39">
        <f t="shared" si="73"/>
        <v>2.71</v>
      </c>
      <c r="G149" s="39">
        <f t="shared" si="74"/>
        <v>3.41</v>
      </c>
      <c r="H149" s="39">
        <f t="shared" si="75"/>
        <v>3.96</v>
      </c>
      <c r="I149" s="39">
        <f t="shared" si="76"/>
        <v>4.13</v>
      </c>
      <c r="J149" s="39">
        <f t="shared" si="77"/>
        <v>1.1299999999999999</v>
      </c>
      <c r="K149" s="39">
        <f t="shared" si="78"/>
        <v>1.18</v>
      </c>
      <c r="L149" s="39">
        <f t="shared" si="68"/>
        <v>0.55200000000000005</v>
      </c>
      <c r="M149" s="39">
        <f t="shared" si="79"/>
        <v>0.56399999999999995</v>
      </c>
      <c r="N149" s="3">
        <v>34</v>
      </c>
      <c r="O149" s="39">
        <f t="shared" si="69"/>
        <v>0.10029411764705883</v>
      </c>
      <c r="P149" s="39">
        <f t="shared" si="70"/>
        <v>0.11647058823529412</v>
      </c>
      <c r="Q149" s="39">
        <f t="shared" si="71"/>
        <v>3.4705882352941177E-2</v>
      </c>
      <c r="R149" s="39">
        <f t="shared" si="72"/>
        <v>1.6588235294117647E-2</v>
      </c>
    </row>
    <row r="150" spans="5:18" ht="15" x14ac:dyDescent="0.2">
      <c r="E150" s="39" t="s">
        <v>120</v>
      </c>
      <c r="F150" s="39">
        <f t="shared" si="73"/>
        <v>0</v>
      </c>
      <c r="G150" s="39">
        <f t="shared" si="74"/>
        <v>0</v>
      </c>
      <c r="H150" s="39">
        <f t="shared" si="75"/>
        <v>0</v>
      </c>
      <c r="I150" s="39">
        <f t="shared" si="76"/>
        <v>0</v>
      </c>
      <c r="J150" s="39">
        <f t="shared" si="77"/>
        <v>0</v>
      </c>
      <c r="K150" s="39">
        <f t="shared" si="78"/>
        <v>0</v>
      </c>
      <c r="L150" s="39">
        <f t="shared" si="68"/>
        <v>0</v>
      </c>
      <c r="M150" s="39">
        <f t="shared" si="79"/>
        <v>0</v>
      </c>
      <c r="N150" s="3">
        <v>11900</v>
      </c>
      <c r="O150" s="39">
        <f t="shared" si="69"/>
        <v>0</v>
      </c>
      <c r="P150" s="39">
        <f t="shared" si="70"/>
        <v>0</v>
      </c>
      <c r="Q150" s="39">
        <f t="shared" si="71"/>
        <v>0</v>
      </c>
      <c r="R150" s="39">
        <f t="shared" si="72"/>
        <v>0</v>
      </c>
    </row>
    <row r="151" spans="5:18" ht="15" x14ac:dyDescent="0.2">
      <c r="E151" s="39" t="s">
        <v>11</v>
      </c>
      <c r="F151" s="39">
        <f t="shared" si="73"/>
        <v>0.502</v>
      </c>
      <c r="G151" s="39">
        <f t="shared" si="74"/>
        <v>0.65599999999999992</v>
      </c>
      <c r="H151" s="39">
        <f t="shared" si="75"/>
        <v>1.04</v>
      </c>
      <c r="I151" s="39">
        <f t="shared" si="76"/>
        <v>1.06</v>
      </c>
      <c r="J151" s="39">
        <f t="shared" si="77"/>
        <v>0.52200000000000002</v>
      </c>
      <c r="K151" s="39">
        <f t="shared" si="78"/>
        <v>0.53299999999999992</v>
      </c>
      <c r="L151" s="39">
        <f t="shared" si="68"/>
        <v>0.47100000000000003</v>
      </c>
      <c r="M151" s="39">
        <f t="shared" si="79"/>
        <v>0.45</v>
      </c>
      <c r="N151" s="3">
        <v>37</v>
      </c>
      <c r="O151" s="39">
        <f t="shared" si="69"/>
        <v>1.7729729729729728E-2</v>
      </c>
      <c r="P151" s="39">
        <f t="shared" si="70"/>
        <v>2.8108108108108109E-2</v>
      </c>
      <c r="Q151" s="39">
        <f t="shared" si="71"/>
        <v>1.4405405405405403E-2</v>
      </c>
      <c r="R151" s="39">
        <f t="shared" si="72"/>
        <v>1.272972972972973E-2</v>
      </c>
    </row>
    <row r="152" spans="5:18" ht="15" x14ac:dyDescent="0.2">
      <c r="E152" s="39" t="s">
        <v>121</v>
      </c>
      <c r="F152" s="39">
        <f t="shared" si="73"/>
        <v>0</v>
      </c>
      <c r="G152" s="39">
        <f t="shared" si="74"/>
        <v>0.01</v>
      </c>
      <c r="H152" s="39">
        <f t="shared" si="75"/>
        <v>0</v>
      </c>
      <c r="I152" s="39">
        <f t="shared" si="76"/>
        <v>0</v>
      </c>
      <c r="J152" s="39">
        <f t="shared" si="77"/>
        <v>0</v>
      </c>
      <c r="K152" s="39">
        <f t="shared" si="78"/>
        <v>0</v>
      </c>
      <c r="L152" s="39">
        <f t="shared" si="68"/>
        <v>0</v>
      </c>
      <c r="M152" s="39">
        <f t="shared" si="79"/>
        <v>0</v>
      </c>
      <c r="N152" s="3">
        <v>4.0999999999999996</v>
      </c>
      <c r="O152" s="39">
        <f t="shared" si="69"/>
        <v>2.4390243902439029E-3</v>
      </c>
      <c r="P152" s="39">
        <f t="shared" si="70"/>
        <v>2.4390243902439029E-3</v>
      </c>
      <c r="Q152" s="39">
        <f t="shared" si="71"/>
        <v>0</v>
      </c>
      <c r="R152" s="39">
        <f t="shared" si="72"/>
        <v>0</v>
      </c>
    </row>
    <row r="153" spans="5:18" ht="15" x14ac:dyDescent="0.2">
      <c r="E153" s="39" t="s">
        <v>122</v>
      </c>
      <c r="F153" s="39">
        <f t="shared" si="73"/>
        <v>3.94</v>
      </c>
      <c r="G153" s="39">
        <f t="shared" si="74"/>
        <v>5.5</v>
      </c>
      <c r="H153" s="39">
        <f t="shared" si="75"/>
        <v>7.28</v>
      </c>
      <c r="I153" s="39">
        <f t="shared" si="76"/>
        <v>7.73</v>
      </c>
      <c r="J153" s="39">
        <f t="shared" si="77"/>
        <v>2.86</v>
      </c>
      <c r="K153" s="39">
        <f t="shared" si="78"/>
        <v>2.88</v>
      </c>
      <c r="L153" s="39">
        <f t="shared" si="68"/>
        <v>2.4900000000000002</v>
      </c>
      <c r="M153" s="39">
        <f t="shared" si="79"/>
        <v>2.34</v>
      </c>
      <c r="N153" s="3">
        <v>14.4</v>
      </c>
      <c r="O153" s="39">
        <f t="shared" si="69"/>
        <v>0.38194444444444442</v>
      </c>
      <c r="P153" s="39">
        <f t="shared" si="70"/>
        <v>0.50555555555555554</v>
      </c>
      <c r="Q153" s="39">
        <f t="shared" si="71"/>
        <v>0.19999999999999998</v>
      </c>
      <c r="R153" s="39">
        <f t="shared" si="72"/>
        <v>0.17291666666666669</v>
      </c>
    </row>
    <row r="154" spans="5:18" ht="15" x14ac:dyDescent="0.2">
      <c r="E154" s="39" t="s">
        <v>123</v>
      </c>
      <c r="F154" s="39">
        <f t="shared" si="73"/>
        <v>0</v>
      </c>
      <c r="G154" s="39">
        <f t="shared" si="74"/>
        <v>9.3999999999999997E-4</v>
      </c>
      <c r="H154" s="39">
        <f t="shared" si="75"/>
        <v>0</v>
      </c>
      <c r="I154" s="39">
        <f t="shared" si="76"/>
        <v>0</v>
      </c>
      <c r="J154" s="39">
        <f t="shared" si="77"/>
        <v>0</v>
      </c>
      <c r="K154" s="39">
        <f t="shared" si="78"/>
        <v>0</v>
      </c>
      <c r="L154" s="39">
        <f t="shared" si="68"/>
        <v>0</v>
      </c>
      <c r="M154" s="39">
        <f t="shared" si="79"/>
        <v>0</v>
      </c>
      <c r="N154" s="3">
        <v>0.19</v>
      </c>
      <c r="O154" s="39">
        <f t="shared" si="69"/>
        <v>4.9473684210526317E-3</v>
      </c>
      <c r="P154" s="39">
        <f t="shared" si="70"/>
        <v>4.9473684210526317E-3</v>
      </c>
      <c r="Q154" s="39">
        <f t="shared" si="71"/>
        <v>0</v>
      </c>
      <c r="R154" s="39">
        <f t="shared" si="72"/>
        <v>0</v>
      </c>
    </row>
    <row r="155" spans="5:18" ht="15" x14ac:dyDescent="0.2">
      <c r="E155" s="39" t="s">
        <v>124</v>
      </c>
      <c r="F155" s="39">
        <f t="shared" si="73"/>
        <v>0</v>
      </c>
      <c r="G155" s="39">
        <f t="shared" si="74"/>
        <v>4.2500000000000003E-3</v>
      </c>
      <c r="H155" s="39">
        <f t="shared" si="75"/>
        <v>0</v>
      </c>
      <c r="I155" s="39">
        <f t="shared" si="76"/>
        <v>0</v>
      </c>
      <c r="J155" s="39">
        <f t="shared" si="77"/>
        <v>0</v>
      </c>
      <c r="K155" s="39">
        <f t="shared" si="78"/>
        <v>0</v>
      </c>
      <c r="L155" s="39">
        <f t="shared" si="68"/>
        <v>0</v>
      </c>
      <c r="M155" s="39">
        <f t="shared" si="79"/>
        <v>0</v>
      </c>
      <c r="N155" s="3">
        <v>6.5</v>
      </c>
      <c r="O155" s="39">
        <f t="shared" si="69"/>
        <v>6.5384615384615394E-4</v>
      </c>
      <c r="P155" s="39">
        <f t="shared" si="70"/>
        <v>6.5384615384615394E-4</v>
      </c>
      <c r="Q155" s="39">
        <f t="shared" si="71"/>
        <v>0</v>
      </c>
      <c r="R155" s="39">
        <f t="shared" si="72"/>
        <v>0</v>
      </c>
    </row>
    <row r="156" spans="5:18" ht="15" x14ac:dyDescent="0.2">
      <c r="E156" s="39" t="s">
        <v>125</v>
      </c>
      <c r="F156" s="39">
        <f t="shared" si="73"/>
        <v>0.49</v>
      </c>
      <c r="G156" s="39">
        <f t="shared" si="74"/>
        <v>0.63600000000000001</v>
      </c>
      <c r="H156" s="39">
        <f t="shared" si="75"/>
        <v>0.17600000000000002</v>
      </c>
      <c r="I156" s="39">
        <f t="shared" si="76"/>
        <v>0.59899999999999998</v>
      </c>
      <c r="J156" s="39">
        <f t="shared" si="77"/>
        <v>0.17699999999999999</v>
      </c>
      <c r="K156" s="39">
        <f t="shared" si="78"/>
        <v>0.25700000000000001</v>
      </c>
      <c r="L156" s="39">
        <f t="shared" si="68"/>
        <v>0.18</v>
      </c>
      <c r="M156" s="39">
        <f t="shared" si="79"/>
        <v>0.14800000000000002</v>
      </c>
      <c r="N156" s="3">
        <v>20</v>
      </c>
      <c r="O156" s="39">
        <f t="shared" si="69"/>
        <v>3.1800000000000002E-2</v>
      </c>
      <c r="P156" s="39">
        <f t="shared" si="70"/>
        <v>3.1800000000000002E-2</v>
      </c>
      <c r="Q156" s="39">
        <f t="shared" si="71"/>
        <v>1.285E-2</v>
      </c>
      <c r="R156" s="39">
        <f t="shared" si="72"/>
        <v>8.9999999999999993E-3</v>
      </c>
    </row>
    <row r="157" spans="5:18" ht="15" x14ac:dyDescent="0.2">
      <c r="E157" s="39" t="s">
        <v>126</v>
      </c>
      <c r="F157" s="39">
        <f t="shared" si="73"/>
        <v>0</v>
      </c>
      <c r="G157" s="39">
        <f t="shared" si="74"/>
        <v>0</v>
      </c>
      <c r="H157" s="39">
        <f t="shared" si="75"/>
        <v>0</v>
      </c>
      <c r="I157" s="39">
        <f t="shared" si="76"/>
        <v>0</v>
      </c>
      <c r="J157" s="39">
        <f t="shared" si="77"/>
        <v>0</v>
      </c>
      <c r="K157" s="39">
        <f t="shared" si="78"/>
        <v>0</v>
      </c>
      <c r="L157" s="39">
        <f t="shared" si="68"/>
        <v>0</v>
      </c>
      <c r="M157" s="39">
        <f t="shared" si="79"/>
        <v>0</v>
      </c>
      <c r="N157" s="3">
        <v>2.4</v>
      </c>
      <c r="O157" s="39">
        <f t="shared" si="69"/>
        <v>0</v>
      </c>
      <c r="P157" s="39">
        <f t="shared" si="70"/>
        <v>0</v>
      </c>
      <c r="Q157" s="39">
        <f t="shared" si="71"/>
        <v>0</v>
      </c>
      <c r="R157" s="39">
        <f t="shared" si="72"/>
        <v>0</v>
      </c>
    </row>
    <row r="158" spans="5:18" ht="15" x14ac:dyDescent="0.2">
      <c r="E158" s="39" t="s">
        <v>127</v>
      </c>
      <c r="F158" s="39">
        <f t="shared" si="73"/>
        <v>2.1700000000000001E-2</v>
      </c>
      <c r="G158" s="39">
        <f t="shared" si="74"/>
        <v>2.2599999999999999E-2</v>
      </c>
      <c r="H158" s="39">
        <f t="shared" si="75"/>
        <v>2.0499999999999997E-2</v>
      </c>
      <c r="I158" s="39">
        <f t="shared" si="76"/>
        <v>1.8100000000000002E-2</v>
      </c>
      <c r="J158" s="39">
        <f t="shared" si="77"/>
        <v>0</v>
      </c>
      <c r="K158" s="39">
        <f t="shared" si="78"/>
        <v>0</v>
      </c>
      <c r="L158" s="39">
        <f t="shared" si="68"/>
        <v>0</v>
      </c>
      <c r="M158" s="39">
        <f t="shared" si="79"/>
        <v>0</v>
      </c>
      <c r="N158" s="3">
        <v>5.6</v>
      </c>
      <c r="O158" s="39">
        <f t="shared" si="69"/>
        <v>4.0357142857142857E-3</v>
      </c>
      <c r="P158" s="39">
        <f t="shared" si="70"/>
        <v>4.0357142857142857E-3</v>
      </c>
      <c r="Q158" s="39">
        <f t="shared" si="71"/>
        <v>0</v>
      </c>
      <c r="R158" s="39">
        <f t="shared" si="72"/>
        <v>0</v>
      </c>
    </row>
    <row r="159" spans="5:18" ht="15" x14ac:dyDescent="0.2">
      <c r="E159" s="39" t="s">
        <v>1</v>
      </c>
      <c r="F159" s="39">
        <f t="shared" si="73"/>
        <v>26.8</v>
      </c>
      <c r="G159" s="39">
        <f t="shared" si="74"/>
        <v>0</v>
      </c>
      <c r="H159" s="39">
        <f t="shared" si="75"/>
        <v>0</v>
      </c>
      <c r="I159" s="39">
        <f t="shared" si="76"/>
        <v>0</v>
      </c>
      <c r="J159" s="39">
        <f t="shared" si="77"/>
        <v>0</v>
      </c>
      <c r="K159" s="39">
        <f t="shared" si="78"/>
        <v>0</v>
      </c>
      <c r="L159" s="39">
        <f t="shared" si="68"/>
        <v>0</v>
      </c>
      <c r="M159" s="39">
        <f t="shared" si="79"/>
        <v>0</v>
      </c>
      <c r="N159" s="3">
        <v>28</v>
      </c>
      <c r="O159" s="39">
        <f t="shared" si="69"/>
        <v>0.95714285714285718</v>
      </c>
      <c r="P159" s="39">
        <f t="shared" si="70"/>
        <v>0</v>
      </c>
      <c r="Q159" s="39">
        <f t="shared" si="71"/>
        <v>0</v>
      </c>
      <c r="R159" s="39">
        <f t="shared" si="72"/>
        <v>0</v>
      </c>
    </row>
    <row r="160" spans="5:18" ht="15" x14ac:dyDescent="0.2">
      <c r="E160" s="39" t="s">
        <v>0</v>
      </c>
      <c r="F160" s="39">
        <f t="shared" si="73"/>
        <v>0</v>
      </c>
      <c r="G160" s="39">
        <f t="shared" si="74"/>
        <v>0</v>
      </c>
      <c r="H160" s="39">
        <f t="shared" si="75"/>
        <v>0</v>
      </c>
      <c r="I160" s="39">
        <f t="shared" si="76"/>
        <v>0</v>
      </c>
      <c r="J160" s="39">
        <f t="shared" si="77"/>
        <v>0</v>
      </c>
      <c r="K160" s="39">
        <f t="shared" si="78"/>
        <v>0</v>
      </c>
      <c r="L160" s="39">
        <f t="shared" si="68"/>
        <v>0</v>
      </c>
      <c r="M160" s="39">
        <f t="shared" si="79"/>
        <v>0</v>
      </c>
      <c r="N160" s="3">
        <v>170</v>
      </c>
      <c r="O160" s="39">
        <f t="shared" si="69"/>
        <v>0</v>
      </c>
      <c r="P160" s="39">
        <f t="shared" si="70"/>
        <v>0</v>
      </c>
      <c r="Q160" s="39">
        <f t="shared" si="71"/>
        <v>0</v>
      </c>
      <c r="R160" s="39">
        <f t="shared" si="72"/>
        <v>0</v>
      </c>
    </row>
  </sheetData>
  <mergeCells count="18">
    <mergeCell ref="A37:A39"/>
    <mergeCell ref="C1:D1"/>
    <mergeCell ref="S1:S2"/>
    <mergeCell ref="E21:E22"/>
    <mergeCell ref="F21:M21"/>
    <mergeCell ref="A31:A33"/>
    <mergeCell ref="E41:E42"/>
    <mergeCell ref="F41:M41"/>
    <mergeCell ref="E61:E62"/>
    <mergeCell ref="F61:M61"/>
    <mergeCell ref="E81:E82"/>
    <mergeCell ref="F81:M81"/>
    <mergeCell ref="E101:E102"/>
    <mergeCell ref="F101:M101"/>
    <mergeCell ref="E121:E122"/>
    <mergeCell ref="F121:M121"/>
    <mergeCell ref="E141:E142"/>
    <mergeCell ref="F141:M141"/>
  </mergeCells>
  <conditionalFormatting sqref="B10">
    <cfRule type="cellIs" dxfId="91" priority="3" operator="equal">
      <formula>0</formula>
    </cfRule>
  </conditionalFormatting>
  <conditionalFormatting sqref="B17">
    <cfRule type="cellIs" dxfId="90" priority="2" operator="equal">
      <formula>0</formula>
    </cfRule>
  </conditionalFormatting>
  <conditionalFormatting sqref="B20">
    <cfRule type="cellIs" dxfId="89" priority="1" operator="equal">
      <formula>0</formula>
    </cfRule>
  </conditionalFormatting>
  <conditionalFormatting sqref="F3:M20">
    <cfRule type="cellIs" dxfId="88" priority="8" operator="equal">
      <formula>0</formula>
    </cfRule>
  </conditionalFormatting>
  <conditionalFormatting sqref="O3:O19">
    <cfRule type="containsText" dxfId="87" priority="25" operator="containsText" text="&gt;1">
      <formula>NOT(ISERROR(SEARCH("&gt;1",O3)))</formula>
    </cfRule>
  </conditionalFormatting>
  <conditionalFormatting sqref="O3:R5">
    <cfRule type="cellIs" dxfId="86" priority="28" operator="greaterThan">
      <formula>1</formula>
    </cfRule>
  </conditionalFormatting>
  <conditionalFormatting sqref="O3:R19">
    <cfRule type="colorScale" priority="26">
      <colorScale>
        <cfvo type="num" val="&quot;&lt;1&quot;"/>
        <cfvo type="num" val="&quot;&gt;1&quot;"/>
        <color theme="9"/>
        <color theme="5" tint="-0.249977111117893"/>
      </colorScale>
    </cfRule>
    <cfRule type="colorScale" priority="27">
      <colorScale>
        <cfvo type="num" val="&quot;&lt;1&quot;"/>
        <cfvo type="num" val="&quot;&gt;1&quot;"/>
        <color theme="9"/>
        <color theme="5" tint="0.39997558519241921"/>
      </colorScale>
    </cfRule>
  </conditionalFormatting>
  <conditionalFormatting sqref="O3:R20">
    <cfRule type="cellIs" dxfId="85" priority="13" operator="lessThan">
      <formula>1</formula>
    </cfRule>
    <cfRule type="cellIs" dxfId="84" priority="14" operator="greaterThan">
      <formula>1</formula>
    </cfRule>
  </conditionalFormatting>
  <conditionalFormatting sqref="O23:R40">
    <cfRule type="cellIs" dxfId="83" priority="12" operator="greaterThan">
      <formula>1</formula>
    </cfRule>
    <cfRule type="cellIs" dxfId="82" priority="11" operator="lessThan">
      <formula>1</formula>
    </cfRule>
  </conditionalFormatting>
  <conditionalFormatting sqref="O43:R60">
    <cfRule type="cellIs" dxfId="81" priority="24" operator="greaterThan">
      <formula>1</formula>
    </cfRule>
    <cfRule type="cellIs" dxfId="80" priority="23" operator="lessThan">
      <formula>1</formula>
    </cfRule>
  </conditionalFormatting>
  <conditionalFormatting sqref="O63:R80">
    <cfRule type="cellIs" dxfId="79" priority="22" operator="greaterThan">
      <formula>1</formula>
    </cfRule>
    <cfRule type="cellIs" dxfId="78" priority="21" operator="lessThan">
      <formula>1</formula>
    </cfRule>
  </conditionalFormatting>
  <conditionalFormatting sqref="O83:R100">
    <cfRule type="cellIs" dxfId="77" priority="20" operator="greaterThan">
      <formula>1</formula>
    </cfRule>
    <cfRule type="cellIs" dxfId="76" priority="19" operator="lessThan">
      <formula>1</formula>
    </cfRule>
  </conditionalFormatting>
  <conditionalFormatting sqref="O103:R120">
    <cfRule type="cellIs" dxfId="75" priority="18" operator="greaterThan">
      <formula>1</formula>
    </cfRule>
    <cfRule type="cellIs" dxfId="74" priority="17" operator="lessThan">
      <formula>1</formula>
    </cfRule>
  </conditionalFormatting>
  <conditionalFormatting sqref="O123:R140">
    <cfRule type="cellIs" dxfId="73" priority="16" operator="greaterThan">
      <formula>1</formula>
    </cfRule>
    <cfRule type="cellIs" dxfId="72" priority="15" operator="lessThan">
      <formula>1</formula>
    </cfRule>
  </conditionalFormatting>
  <conditionalFormatting sqref="O143:R160">
    <cfRule type="cellIs" dxfId="71" priority="10" operator="greaterThan">
      <formula>1</formula>
    </cfRule>
    <cfRule type="cellIs" dxfId="70" priority="9" operator="lessThan">
      <formula>1</formula>
    </cfRule>
  </conditionalFormatting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B3EC3-2AE4-4E44-9465-BC2A17C0E2FC}">
  <dimension ref="A1:U85"/>
  <sheetViews>
    <sheetView topLeftCell="A36" zoomScaleNormal="100" workbookViewId="0">
      <selection activeCell="E23" sqref="E23"/>
    </sheetView>
  </sheetViews>
  <sheetFormatPr baseColWidth="10" defaultColWidth="8.83203125" defaultRowHeight="15" x14ac:dyDescent="0.2"/>
  <cols>
    <col min="1" max="1" width="17.33203125" bestFit="1" customWidth="1"/>
    <col min="2" max="2" width="14" customWidth="1"/>
    <col min="3" max="3" width="16.5" customWidth="1"/>
    <col min="4" max="4" width="20.1640625" customWidth="1"/>
    <col min="5" max="5" width="18.6640625" customWidth="1"/>
    <col min="6" max="6" width="17.1640625" customWidth="1"/>
    <col min="7" max="7" width="15.5" customWidth="1"/>
    <col min="8" max="9" width="8.83203125" customWidth="1"/>
    <col min="13" max="13" width="14" bestFit="1" customWidth="1"/>
    <col min="14" max="14" width="10.1640625" bestFit="1" customWidth="1"/>
    <col min="15" max="15" width="20.1640625" bestFit="1" customWidth="1"/>
    <col min="16" max="16" width="18.6640625" bestFit="1" customWidth="1"/>
    <col min="17" max="17" width="17.1640625" bestFit="1" customWidth="1"/>
    <col min="18" max="18" width="15.5" bestFit="1" customWidth="1"/>
  </cols>
  <sheetData>
    <row r="1" spans="1:7" x14ac:dyDescent="0.2">
      <c r="A1" s="91" t="s">
        <v>69</v>
      </c>
      <c r="B1" s="92"/>
      <c r="C1" s="92"/>
      <c r="D1" s="92"/>
      <c r="E1" s="92"/>
      <c r="F1" s="92"/>
    </row>
    <row r="2" spans="1:7" x14ac:dyDescent="0.2">
      <c r="A2" s="1" t="s">
        <v>68</v>
      </c>
      <c r="B2" s="1">
        <v>0.2</v>
      </c>
      <c r="C2" s="1" t="s">
        <v>7</v>
      </c>
      <c r="D2" s="1"/>
      <c r="E2" s="1"/>
      <c r="F2" s="1"/>
    </row>
    <row r="3" spans="1:7" x14ac:dyDescent="0.2">
      <c r="A3" s="1" t="s">
        <v>64</v>
      </c>
      <c r="B3" s="1">
        <v>0.1</v>
      </c>
      <c r="C3" s="1" t="s">
        <v>7</v>
      </c>
      <c r="D3" s="15"/>
      <c r="E3" s="15"/>
      <c r="F3" s="15"/>
      <c r="G3" s="15"/>
    </row>
    <row r="4" spans="1:7" x14ac:dyDescent="0.2">
      <c r="A4" s="1" t="s">
        <v>62</v>
      </c>
      <c r="B4" s="1">
        <v>0.3</v>
      </c>
      <c r="C4" s="1" t="s">
        <v>7</v>
      </c>
      <c r="D4" s="1"/>
      <c r="E4" s="1"/>
      <c r="F4" s="1"/>
    </row>
    <row r="5" spans="1:7" x14ac:dyDescent="0.2">
      <c r="A5" s="1" t="s">
        <v>60</v>
      </c>
      <c r="B5" s="1">
        <v>6.0000000000000001E-3</v>
      </c>
      <c r="C5" s="1" t="s">
        <v>7</v>
      </c>
      <c r="D5" s="1"/>
      <c r="E5" s="1"/>
      <c r="F5" s="1"/>
    </row>
    <row r="6" spans="1:7" x14ac:dyDescent="0.2">
      <c r="A6" s="1" t="s">
        <v>55</v>
      </c>
      <c r="B6" s="1">
        <v>1720</v>
      </c>
      <c r="C6" s="1" t="s">
        <v>47</v>
      </c>
    </row>
    <row r="7" spans="1:7" x14ac:dyDescent="0.2">
      <c r="A7" s="1" t="s">
        <v>52</v>
      </c>
      <c r="B7" s="1">
        <v>1720</v>
      </c>
      <c r="C7" s="1" t="s">
        <v>47</v>
      </c>
    </row>
    <row r="8" spans="1:7" x14ac:dyDescent="0.2">
      <c r="A8" s="1" t="s">
        <v>49</v>
      </c>
      <c r="B8" s="1">
        <v>1780</v>
      </c>
      <c r="C8" s="1" t="s">
        <v>47</v>
      </c>
      <c r="D8" s="1"/>
      <c r="E8" s="1"/>
      <c r="F8" s="1"/>
    </row>
    <row r="9" spans="1:7" x14ac:dyDescent="0.2">
      <c r="A9" s="1" t="s">
        <v>48</v>
      </c>
      <c r="B9" s="1">
        <v>1380</v>
      </c>
      <c r="C9" s="1" t="s">
        <v>47</v>
      </c>
      <c r="D9" s="1"/>
      <c r="E9" s="1"/>
      <c r="F9" s="1"/>
    </row>
    <row r="10" spans="1:7" ht="16" thickBot="1" x14ac:dyDescent="0.25">
      <c r="A10" s="105" t="s">
        <v>95</v>
      </c>
      <c r="B10" s="106"/>
      <c r="C10" s="106"/>
      <c r="D10" s="106"/>
      <c r="E10" s="106"/>
      <c r="F10" s="106"/>
    </row>
    <row r="11" spans="1:7" x14ac:dyDescent="0.2">
      <c r="A11" s="107" t="s">
        <v>8</v>
      </c>
      <c r="B11" s="107"/>
      <c r="C11" s="107"/>
      <c r="D11" s="107" t="s">
        <v>97</v>
      </c>
      <c r="E11" s="107"/>
      <c r="F11" s="107"/>
    </row>
    <row r="12" spans="1:7" x14ac:dyDescent="0.2">
      <c r="A12" s="1" t="s">
        <v>64</v>
      </c>
      <c r="B12" s="1">
        <v>0.8</v>
      </c>
      <c r="C12" s="1" t="s">
        <v>45</v>
      </c>
      <c r="D12" s="1" t="s">
        <v>64</v>
      </c>
      <c r="E12" s="1">
        <v>0.8</v>
      </c>
      <c r="F12" s="1" t="s">
        <v>45</v>
      </c>
      <c r="G12" s="12"/>
    </row>
    <row r="13" spans="1:7" x14ac:dyDescent="0.2">
      <c r="A13" s="1" t="s">
        <v>62</v>
      </c>
      <c r="B13" s="1">
        <v>1</v>
      </c>
      <c r="C13" s="1" t="s">
        <v>7</v>
      </c>
      <c r="D13" s="1" t="s">
        <v>62</v>
      </c>
      <c r="E13" s="1">
        <v>1</v>
      </c>
      <c r="F13" s="1" t="s">
        <v>7</v>
      </c>
      <c r="G13" s="12"/>
    </row>
    <row r="14" spans="1:7" x14ac:dyDescent="0.2">
      <c r="A14" s="1" t="s">
        <v>78</v>
      </c>
      <c r="B14" s="1">
        <v>4</v>
      </c>
      <c r="C14" s="1" t="s">
        <v>7</v>
      </c>
      <c r="D14" s="1" t="s">
        <v>78</v>
      </c>
      <c r="E14" s="1">
        <v>5</v>
      </c>
      <c r="F14" s="1" t="s">
        <v>7</v>
      </c>
      <c r="G14" s="12"/>
    </row>
    <row r="15" spans="1:7" x14ac:dyDescent="0.2">
      <c r="A15" s="1" t="s">
        <v>79</v>
      </c>
      <c r="B15" s="1">
        <v>8</v>
      </c>
      <c r="C15" s="1" t="s">
        <v>7</v>
      </c>
      <c r="D15" s="1" t="s">
        <v>79</v>
      </c>
      <c r="E15" s="1">
        <v>10</v>
      </c>
      <c r="F15" s="1" t="s">
        <v>7</v>
      </c>
      <c r="G15" s="12"/>
    </row>
    <row r="16" spans="1:7" x14ac:dyDescent="0.2">
      <c r="A16" s="1" t="s">
        <v>70</v>
      </c>
      <c r="B16" s="1">
        <f>(B15+B14)*B12/2</f>
        <v>4.8000000000000007</v>
      </c>
      <c r="C16" s="1" t="s">
        <v>34</v>
      </c>
      <c r="D16" s="1" t="s">
        <v>83</v>
      </c>
      <c r="E16" s="1">
        <f>(E15+E14)*B12/2</f>
        <v>6</v>
      </c>
      <c r="F16" s="1" t="s">
        <v>34</v>
      </c>
      <c r="G16" s="12"/>
    </row>
    <row r="17" spans="1:7" x14ac:dyDescent="0.2">
      <c r="A17" s="1" t="s">
        <v>71</v>
      </c>
      <c r="B17" s="1">
        <f>(B14+B15)*B13/2</f>
        <v>6</v>
      </c>
      <c r="C17" s="1" t="s">
        <v>34</v>
      </c>
      <c r="D17" s="1" t="s">
        <v>80</v>
      </c>
      <c r="E17" s="1">
        <f>(E14+E15)*B13/2</f>
        <v>7.5</v>
      </c>
      <c r="F17" s="1" t="s">
        <v>34</v>
      </c>
      <c r="G17" s="1"/>
    </row>
    <row r="18" spans="1:7" x14ac:dyDescent="0.2">
      <c r="A18" s="1" t="s">
        <v>37</v>
      </c>
      <c r="B18" s="1">
        <v>1</v>
      </c>
      <c r="C18" s="1" t="s">
        <v>7</v>
      </c>
      <c r="D18" s="1" t="s">
        <v>37</v>
      </c>
      <c r="E18" s="1">
        <v>1</v>
      </c>
      <c r="F18" s="1" t="s">
        <v>7</v>
      </c>
      <c r="G18" s="1"/>
    </row>
    <row r="19" spans="1:7" x14ac:dyDescent="0.2">
      <c r="A19" s="1" t="s">
        <v>72</v>
      </c>
      <c r="B19" s="1">
        <f>B16*B18</f>
        <v>4.8000000000000007</v>
      </c>
      <c r="C19" s="1" t="s">
        <v>33</v>
      </c>
      <c r="D19" s="1" t="s">
        <v>81</v>
      </c>
      <c r="E19" s="1">
        <f>E16*E18</f>
        <v>6</v>
      </c>
      <c r="F19" s="1" t="s">
        <v>33</v>
      </c>
      <c r="G19" s="1"/>
    </row>
    <row r="20" spans="1:7" x14ac:dyDescent="0.2">
      <c r="A20" s="1" t="s">
        <v>73</v>
      </c>
      <c r="B20" s="1">
        <f>B17*B18</f>
        <v>6</v>
      </c>
      <c r="C20" s="1" t="s">
        <v>34</v>
      </c>
      <c r="D20" s="1" t="s">
        <v>82</v>
      </c>
      <c r="E20" s="1">
        <f>E17*E18</f>
        <v>7.5</v>
      </c>
      <c r="F20" s="1" t="s">
        <v>34</v>
      </c>
      <c r="G20" s="1"/>
    </row>
    <row r="21" spans="1:7" ht="16" thickBot="1" x14ac:dyDescent="0.25">
      <c r="A21" s="105" t="s">
        <v>96</v>
      </c>
      <c r="B21" s="106"/>
      <c r="C21" s="106"/>
      <c r="D21" s="106"/>
      <c r="E21" s="106"/>
      <c r="F21" s="106"/>
      <c r="G21" s="1"/>
    </row>
    <row r="22" spans="1:7" x14ac:dyDescent="0.2">
      <c r="A22" s="1" t="s">
        <v>74</v>
      </c>
      <c r="B22" s="1">
        <v>2.4</v>
      </c>
      <c r="C22" s="1" t="s">
        <v>89</v>
      </c>
      <c r="D22" s="1" t="s">
        <v>36</v>
      </c>
      <c r="E22" s="1">
        <v>2.4</v>
      </c>
      <c r="F22" s="1" t="s">
        <v>89</v>
      </c>
    </row>
    <row r="23" spans="1:7" x14ac:dyDescent="0.2">
      <c r="A23" s="1" t="s">
        <v>91</v>
      </c>
      <c r="B23" s="17">
        <f>B22*B16</f>
        <v>11.520000000000001</v>
      </c>
      <c r="C23" s="1" t="s">
        <v>53</v>
      </c>
      <c r="D23" s="1" t="s">
        <v>92</v>
      </c>
      <c r="E23" s="17">
        <f>E22*E16</f>
        <v>14.399999999999999</v>
      </c>
      <c r="F23" s="1" t="s">
        <v>53</v>
      </c>
    </row>
    <row r="24" spans="1:7" x14ac:dyDescent="0.2">
      <c r="A24" s="1" t="s">
        <v>90</v>
      </c>
      <c r="B24" s="17">
        <f>B22*B17</f>
        <v>14.399999999999999</v>
      </c>
      <c r="C24" s="1" t="s">
        <v>53</v>
      </c>
      <c r="D24" s="1" t="s">
        <v>94</v>
      </c>
      <c r="E24" s="82">
        <f>E22*E17</f>
        <v>18</v>
      </c>
      <c r="F24" s="1" t="s">
        <v>53</v>
      </c>
    </row>
    <row r="25" spans="1:7" x14ac:dyDescent="0.2">
      <c r="A25" s="1" t="s">
        <v>140</v>
      </c>
      <c r="B25" s="17">
        <f>B23*24/B19</f>
        <v>57.599999999999994</v>
      </c>
      <c r="C25" s="1"/>
      <c r="D25" s="1" t="s">
        <v>141</v>
      </c>
      <c r="E25" s="17">
        <f>E24*24/B20</f>
        <v>72</v>
      </c>
      <c r="F25" s="1"/>
    </row>
    <row r="26" spans="1:7" x14ac:dyDescent="0.2">
      <c r="A26" s="12" t="s">
        <v>35</v>
      </c>
      <c r="B26" s="12">
        <f>(0.05+0.1)/2</f>
        <v>7.5000000000000011E-2</v>
      </c>
      <c r="C26" s="12" t="s">
        <v>15</v>
      </c>
      <c r="D26" s="18" t="s">
        <v>86</v>
      </c>
      <c r="E26" s="18">
        <f>B26*3600</f>
        <v>270.00000000000006</v>
      </c>
      <c r="F26" s="18" t="s">
        <v>89</v>
      </c>
    </row>
    <row r="27" spans="1:7" x14ac:dyDescent="0.2">
      <c r="A27" s="12" t="s">
        <v>84</v>
      </c>
      <c r="B27" s="12">
        <f>B26*E17</f>
        <v>0.56250000000000011</v>
      </c>
      <c r="C27" s="12" t="s">
        <v>12</v>
      </c>
      <c r="D27" s="18" t="s">
        <v>88</v>
      </c>
      <c r="E27" s="18">
        <f>B27*3600</f>
        <v>2025.0000000000005</v>
      </c>
      <c r="F27" s="18" t="s">
        <v>53</v>
      </c>
    </row>
    <row r="28" spans="1:7" x14ac:dyDescent="0.2">
      <c r="A28" s="12" t="s">
        <v>85</v>
      </c>
      <c r="B28" s="16">
        <f>B26*E19</f>
        <v>0.45000000000000007</v>
      </c>
      <c r="C28" s="12" t="s">
        <v>12</v>
      </c>
      <c r="D28" s="18" t="s">
        <v>87</v>
      </c>
      <c r="E28" s="19">
        <f>B28*60*60</f>
        <v>1620.0000000000002</v>
      </c>
      <c r="F28" s="18" t="s">
        <v>53</v>
      </c>
    </row>
    <row r="29" spans="1:7" x14ac:dyDescent="0.2">
      <c r="A29" s="14" t="s">
        <v>75</v>
      </c>
      <c r="B29" s="2">
        <v>2.0000000000000002E-5</v>
      </c>
      <c r="C29" s="1" t="s">
        <v>21</v>
      </c>
      <c r="D29" s="14" t="s">
        <v>93</v>
      </c>
      <c r="E29" s="2">
        <f>B29*60</f>
        <v>1.2000000000000001E-3</v>
      </c>
      <c r="F29" s="1" t="s">
        <v>53</v>
      </c>
    </row>
    <row r="30" spans="1:7" x14ac:dyDescent="0.2">
      <c r="A30" s="1" t="s">
        <v>173</v>
      </c>
      <c r="B30" s="17">
        <f>E28*24/E19</f>
        <v>6480.0000000000009</v>
      </c>
      <c r="C30" s="1"/>
      <c r="D30" s="1" t="s">
        <v>174</v>
      </c>
      <c r="E30" s="17">
        <f>E27*24/E20</f>
        <v>6480.0000000000018</v>
      </c>
      <c r="F30" s="1"/>
    </row>
    <row r="31" spans="1:7" x14ac:dyDescent="0.2">
      <c r="A31" s="14" t="s">
        <v>76</v>
      </c>
      <c r="B31" s="2">
        <f>B29*60000</f>
        <v>1.2000000000000002</v>
      </c>
      <c r="C31" s="1" t="s">
        <v>77</v>
      </c>
      <c r="D31" s="14"/>
      <c r="E31" s="2"/>
      <c r="F31" s="1"/>
    </row>
    <row r="32" spans="1:7" ht="16" thickBot="1" x14ac:dyDescent="0.25">
      <c r="A32" s="105" t="s">
        <v>98</v>
      </c>
      <c r="B32" s="106"/>
      <c r="C32" s="106"/>
      <c r="D32" s="106"/>
      <c r="E32" s="106"/>
      <c r="F32" s="106"/>
    </row>
    <row r="33" spans="1:21" x14ac:dyDescent="0.2">
      <c r="A33" s="1" t="s">
        <v>67</v>
      </c>
      <c r="B33" s="1" t="s">
        <v>66</v>
      </c>
      <c r="C33" s="1" t="s">
        <v>65</v>
      </c>
      <c r="D33" s="1"/>
      <c r="E33" s="1"/>
      <c r="F33" s="1"/>
    </row>
    <row r="34" spans="1:21" x14ac:dyDescent="0.2">
      <c r="A34" s="1" t="s">
        <v>63</v>
      </c>
      <c r="B34" s="1">
        <v>0.3</v>
      </c>
      <c r="C34" s="1" t="s">
        <v>58</v>
      </c>
      <c r="D34" s="1"/>
      <c r="E34" s="1"/>
      <c r="F34" s="1"/>
    </row>
    <row r="35" spans="1:21" x14ac:dyDescent="0.2">
      <c r="A35" s="1" t="s">
        <v>61</v>
      </c>
      <c r="B35" s="1">
        <f>B3*B5*B6*B18</f>
        <v>1.032</v>
      </c>
      <c r="C35" s="1" t="s">
        <v>58</v>
      </c>
    </row>
    <row r="36" spans="1:21" x14ac:dyDescent="0.2">
      <c r="A36" s="1" t="s">
        <v>59</v>
      </c>
      <c r="B36" s="1">
        <f>B4*B6*B5*B18</f>
        <v>3.0960000000000001</v>
      </c>
      <c r="C36" s="1" t="s">
        <v>58</v>
      </c>
    </row>
    <row r="37" spans="1:21" x14ac:dyDescent="0.2">
      <c r="A37" s="1" t="s">
        <v>57</v>
      </c>
      <c r="B37" s="1">
        <v>9</v>
      </c>
      <c r="C37" s="1" t="s">
        <v>56</v>
      </c>
      <c r="D37" s="14">
        <f>B37/1000</f>
        <v>8.9999999999999993E-3</v>
      </c>
      <c r="E37" t="s">
        <v>19</v>
      </c>
    </row>
    <row r="38" spans="1:21" x14ac:dyDescent="0.2">
      <c r="A38" s="1" t="s">
        <v>54</v>
      </c>
      <c r="B38" s="1">
        <f>D37/1000</f>
        <v>8.9999999999999985E-6</v>
      </c>
      <c r="C38" s="1" t="s">
        <v>53</v>
      </c>
    </row>
    <row r="39" spans="1:21" x14ac:dyDescent="0.2">
      <c r="A39" s="1" t="s">
        <v>51</v>
      </c>
      <c r="B39" s="1">
        <f>D37*24</f>
        <v>0.21599999999999997</v>
      </c>
      <c r="C39" s="1" t="s">
        <v>50</v>
      </c>
    </row>
    <row r="41" spans="1:21" ht="16" thickBot="1" x14ac:dyDescent="0.25"/>
    <row r="42" spans="1:21" ht="17" thickTop="1" thickBot="1" x14ac:dyDescent="0.25">
      <c r="A42" s="90" t="s">
        <v>32</v>
      </c>
      <c r="B42" s="90"/>
      <c r="C42" s="90"/>
      <c r="D42" s="90"/>
      <c r="E42" s="90"/>
      <c r="F42" s="90"/>
      <c r="G42" s="90"/>
      <c r="H42" s="90"/>
      <c r="I42" s="90"/>
      <c r="J42" s="90"/>
      <c r="L42" s="90" t="s">
        <v>32</v>
      </c>
      <c r="M42" s="90"/>
      <c r="N42" s="90"/>
      <c r="O42" s="90"/>
      <c r="P42" s="90"/>
      <c r="Q42" s="90"/>
      <c r="R42" s="90"/>
      <c r="S42" s="90"/>
      <c r="T42" s="90"/>
      <c r="U42" s="90"/>
    </row>
    <row r="43" spans="1:21" ht="16" thickTop="1" x14ac:dyDescent="0.2">
      <c r="A43" s="93" t="s">
        <v>46</v>
      </c>
      <c r="B43" s="94"/>
      <c r="C43" s="94"/>
      <c r="D43" s="94"/>
      <c r="E43" s="94"/>
      <c r="F43" s="94"/>
      <c r="G43" s="94"/>
      <c r="H43" s="94"/>
      <c r="I43" s="94"/>
      <c r="J43" s="94"/>
      <c r="L43" s="93" t="s">
        <v>142</v>
      </c>
      <c r="M43" s="94"/>
      <c r="N43" s="94"/>
      <c r="O43" s="94"/>
      <c r="P43" s="94"/>
      <c r="Q43" s="94"/>
      <c r="R43" s="94"/>
      <c r="S43" s="94"/>
      <c r="T43" s="94"/>
      <c r="U43" s="94"/>
    </row>
    <row r="44" spans="1:21" x14ac:dyDescent="0.2">
      <c r="A44" s="9" t="s">
        <v>30</v>
      </c>
      <c r="B44" s="8" t="s">
        <v>29</v>
      </c>
      <c r="C44" s="8" t="s">
        <v>175</v>
      </c>
      <c r="D44" s="8" t="s">
        <v>44</v>
      </c>
      <c r="E44" s="8" t="s">
        <v>43</v>
      </c>
      <c r="F44" s="8" t="s">
        <v>42</v>
      </c>
      <c r="G44" s="8" t="s">
        <v>41</v>
      </c>
      <c r="H44" s="11" t="s">
        <v>28</v>
      </c>
      <c r="I44" s="9" t="s">
        <v>27</v>
      </c>
      <c r="J44" s="8" t="s">
        <v>27</v>
      </c>
      <c r="L44" s="9" t="s">
        <v>30</v>
      </c>
      <c r="M44" s="8" t="s">
        <v>29</v>
      </c>
      <c r="N44" s="8" t="s">
        <v>175</v>
      </c>
      <c r="O44" s="8" t="s">
        <v>44</v>
      </c>
      <c r="P44" s="8" t="s">
        <v>43</v>
      </c>
      <c r="Q44" s="8" t="s">
        <v>42</v>
      </c>
      <c r="R44" s="8" t="s">
        <v>41</v>
      </c>
      <c r="S44" s="11" t="s">
        <v>28</v>
      </c>
      <c r="T44" s="9" t="s">
        <v>27</v>
      </c>
      <c r="U44" s="8" t="s">
        <v>27</v>
      </c>
    </row>
    <row r="45" spans="1:21" x14ac:dyDescent="0.2">
      <c r="A45" s="9"/>
      <c r="B45" s="8" t="s">
        <v>26</v>
      </c>
      <c r="C45" s="8" t="s">
        <v>40</v>
      </c>
      <c r="D45" s="8" t="s">
        <v>39</v>
      </c>
      <c r="E45" s="8" t="s">
        <v>39</v>
      </c>
      <c r="F45" s="8" t="s">
        <v>38</v>
      </c>
      <c r="G45" s="8" t="s">
        <v>38</v>
      </c>
      <c r="H45" s="10" t="s">
        <v>26</v>
      </c>
      <c r="I45" s="9" t="s">
        <v>25</v>
      </c>
      <c r="J45" s="8" t="s">
        <v>24</v>
      </c>
      <c r="L45" s="9"/>
      <c r="M45" s="8" t="s">
        <v>26</v>
      </c>
      <c r="N45" s="8" t="s">
        <v>40</v>
      </c>
      <c r="O45" s="8" t="s">
        <v>39</v>
      </c>
      <c r="P45" s="8" t="s">
        <v>39</v>
      </c>
      <c r="Q45" s="8" t="s">
        <v>38</v>
      </c>
      <c r="R45" s="8" t="s">
        <v>38</v>
      </c>
      <c r="S45" s="10" t="s">
        <v>26</v>
      </c>
      <c r="T45" s="9" t="s">
        <v>25</v>
      </c>
      <c r="U45" s="8" t="s">
        <v>24</v>
      </c>
    </row>
    <row r="46" spans="1:21" x14ac:dyDescent="0.2">
      <c r="A46" s="13" t="s">
        <v>23</v>
      </c>
      <c r="B46" s="4">
        <f>MAX(M2_leaching!F3:G3)</f>
        <v>0</v>
      </c>
      <c r="C46" s="2">
        <f>2*(B46/1000)*$B$39</f>
        <v>0</v>
      </c>
      <c r="D46" s="2">
        <f>C46*$B$35/$B$34</f>
        <v>0</v>
      </c>
      <c r="E46" s="2">
        <f>C46*$B$36/$B$34</f>
        <v>0</v>
      </c>
      <c r="F46" s="2">
        <f>D46/$B$19</f>
        <v>0</v>
      </c>
      <c r="G46" s="2">
        <f>E46/$B$20</f>
        <v>0</v>
      </c>
      <c r="H46" s="7">
        <v>5.7000000000000002E-2</v>
      </c>
      <c r="I46" s="2">
        <f t="shared" ref="I46:I63" si="0">F46/H46</f>
        <v>0</v>
      </c>
      <c r="J46" s="2">
        <f t="shared" ref="J46:J63" si="1">G46/H46</f>
        <v>0</v>
      </c>
      <c r="L46" s="13" t="s">
        <v>23</v>
      </c>
      <c r="M46" s="4">
        <f>MAX(M2_leaching!F3:G3)</f>
        <v>0</v>
      </c>
      <c r="N46" s="2">
        <f>2*M46*$B$39/1000</f>
        <v>0</v>
      </c>
      <c r="O46" s="2">
        <f>N46*$B$35/$B$34</f>
        <v>0</v>
      </c>
      <c r="P46" s="2">
        <f>N46*$B$36/$B$34</f>
        <v>0</v>
      </c>
      <c r="Q46" s="2">
        <f>O46/($B$19*$B$25)</f>
        <v>0</v>
      </c>
      <c r="R46" s="2">
        <f>P46/($B$20*$E$25)</f>
        <v>0</v>
      </c>
      <c r="S46" s="7">
        <v>5.7000000000000002E-2</v>
      </c>
      <c r="T46" s="2">
        <f t="shared" ref="T46:T63" si="2">Q46/S46</f>
        <v>0</v>
      </c>
      <c r="U46" s="2">
        <f t="shared" ref="U46:U63" si="3">R46/S46</f>
        <v>0</v>
      </c>
    </row>
    <row r="47" spans="1:21" x14ac:dyDescent="0.2">
      <c r="A47" s="13" t="s">
        <v>22</v>
      </c>
      <c r="B47" s="4">
        <f>MAX(M2_leaching!F4:G4)</f>
        <v>17.100000000000001</v>
      </c>
      <c r="C47" s="2">
        <f>2*(B47/1000)*$B$39</f>
        <v>7.3871999999999991E-3</v>
      </c>
      <c r="D47" s="2">
        <f t="shared" ref="D47:D63" si="4">C47*$B$35/$B$34</f>
        <v>2.5411968E-2</v>
      </c>
      <c r="E47" s="2">
        <f t="shared" ref="E47:E63" si="5">C47*$B$36/$B$34</f>
        <v>7.6235903999999993E-2</v>
      </c>
      <c r="F47" s="2">
        <f t="shared" ref="F47:F62" si="6">D47/$B$19</f>
        <v>5.2941599999999991E-3</v>
      </c>
      <c r="G47" s="2">
        <f t="shared" ref="G47:G63" si="7">E47/$B$20</f>
        <v>1.2705983999999998E-2</v>
      </c>
      <c r="H47" s="7">
        <v>114.7</v>
      </c>
      <c r="I47" s="2">
        <f t="shared" si="0"/>
        <v>4.6156582388840444E-5</v>
      </c>
      <c r="J47" s="2">
        <f t="shared" si="1"/>
        <v>1.1077579773321707E-4</v>
      </c>
      <c r="L47" s="13" t="s">
        <v>22</v>
      </c>
      <c r="M47" s="4">
        <f>MAX(M2_leaching!F4:G4)</f>
        <v>17.100000000000001</v>
      </c>
      <c r="N47" s="2">
        <f t="shared" ref="N47:N63" si="8">2*M47*$B$39/1000</f>
        <v>7.3872E-3</v>
      </c>
      <c r="O47" s="2">
        <f t="shared" ref="O47:O63" si="9">N47*$B$35/$B$34</f>
        <v>2.5411968000000004E-2</v>
      </c>
      <c r="P47" s="2">
        <f t="shared" ref="P47" si="10">N47*$B$36/$B$34</f>
        <v>7.6235904000000007E-2</v>
      </c>
      <c r="Q47" s="2">
        <f t="shared" ref="Q47:Q63" si="11">O47/($B$19*$B$25)</f>
        <v>9.1912500000000005E-5</v>
      </c>
      <c r="R47" s="2">
        <f>P47/($B$20*$E$25)</f>
        <v>1.7647200000000003E-4</v>
      </c>
      <c r="S47" s="7">
        <v>114.7</v>
      </c>
      <c r="T47" s="2">
        <f t="shared" si="2"/>
        <v>8.0132955536181342E-7</v>
      </c>
      <c r="U47" s="2">
        <f t="shared" si="3"/>
        <v>1.538552746294682E-6</v>
      </c>
    </row>
    <row r="48" spans="1:21" x14ac:dyDescent="0.2">
      <c r="A48" s="13" t="s">
        <v>20</v>
      </c>
      <c r="B48" s="4">
        <f>MAX(M2_leaching!F5:G5)</f>
        <v>59</v>
      </c>
      <c r="C48" s="2">
        <f t="shared" ref="C48:C63" si="12">2*(B48/1000)*$B$39</f>
        <v>2.5487999999999997E-2</v>
      </c>
      <c r="D48" s="2">
        <f t="shared" si="4"/>
        <v>8.7678720000000002E-2</v>
      </c>
      <c r="E48" s="2">
        <f t="shared" si="5"/>
        <v>0.26303615999999996</v>
      </c>
      <c r="F48" s="2">
        <f t="shared" si="6"/>
        <v>1.8266399999999999E-2</v>
      </c>
      <c r="G48" s="2">
        <f t="shared" si="7"/>
        <v>4.3839359999999994E-2</v>
      </c>
      <c r="H48" s="6">
        <v>2900</v>
      </c>
      <c r="I48" s="2">
        <f t="shared" si="0"/>
        <v>6.298758620689655E-6</v>
      </c>
      <c r="J48" s="2">
        <f t="shared" si="1"/>
        <v>1.511702068965517E-5</v>
      </c>
      <c r="L48" s="13" t="s">
        <v>20</v>
      </c>
      <c r="M48" s="4">
        <f>MAX(M2_leaching!F5:G5)</f>
        <v>59</v>
      </c>
      <c r="N48" s="2">
        <f t="shared" si="8"/>
        <v>2.5487999999999997E-2</v>
      </c>
      <c r="O48" s="2">
        <f t="shared" si="9"/>
        <v>8.7678720000000002E-2</v>
      </c>
      <c r="P48" s="2">
        <f>N48*$B$36/$B$34</f>
        <v>0.26303615999999996</v>
      </c>
      <c r="Q48" s="2">
        <f t="shared" si="11"/>
        <v>3.1712499999999997E-4</v>
      </c>
      <c r="R48" s="2">
        <f t="shared" ref="R48:R63" si="13">P48/($B$20*$E$25)</f>
        <v>6.088799999999999E-4</v>
      </c>
      <c r="S48" s="6">
        <v>2900</v>
      </c>
      <c r="T48" s="2">
        <f t="shared" si="2"/>
        <v>1.0935344827586206E-7</v>
      </c>
      <c r="U48" s="2">
        <f t="shared" si="3"/>
        <v>2.0995862068965513E-7</v>
      </c>
    </row>
    <row r="49" spans="1:21" s="87" customFormat="1" x14ac:dyDescent="0.2">
      <c r="A49" s="83" t="s">
        <v>18</v>
      </c>
      <c r="B49" s="84">
        <f>MAX(M2_leaching!F6:G6)</f>
        <v>2.5</v>
      </c>
      <c r="C49" s="85">
        <f t="shared" si="12"/>
        <v>1.0799999999999998E-3</v>
      </c>
      <c r="D49" s="85">
        <f t="shared" si="4"/>
        <v>3.7151999999999997E-3</v>
      </c>
      <c r="E49" s="85">
        <f t="shared" si="5"/>
        <v>1.1145599999999999E-2</v>
      </c>
      <c r="F49" s="85">
        <f t="shared" si="6"/>
        <v>7.7399999999999984E-4</v>
      </c>
      <c r="G49" s="85">
        <f t="shared" si="7"/>
        <v>1.8575999999999998E-3</v>
      </c>
      <c r="H49" s="86">
        <v>1.06</v>
      </c>
      <c r="I49" s="85">
        <f t="shared" si="0"/>
        <v>7.3018867924528285E-4</v>
      </c>
      <c r="J49" s="85">
        <f t="shared" si="1"/>
        <v>1.7524528301886789E-3</v>
      </c>
      <c r="L49" s="83" t="s">
        <v>18</v>
      </c>
      <c r="M49" s="84">
        <f>MAX(M2_leaching!F6:G6)</f>
        <v>2.5</v>
      </c>
      <c r="N49" s="85">
        <f t="shared" si="8"/>
        <v>1.0799999999999998E-3</v>
      </c>
      <c r="O49" s="85">
        <f t="shared" si="9"/>
        <v>3.7151999999999997E-3</v>
      </c>
      <c r="P49" s="85">
        <f t="shared" ref="P49:P63" si="14">N49*$B$36/$B$34</f>
        <v>1.1145599999999999E-2</v>
      </c>
      <c r="Q49" s="85">
        <f t="shared" si="11"/>
        <v>1.3437499999999998E-5</v>
      </c>
      <c r="R49" s="85">
        <f t="shared" si="13"/>
        <v>2.5799999999999997E-5</v>
      </c>
      <c r="S49" s="86">
        <v>1.06</v>
      </c>
      <c r="T49" s="85">
        <f t="shared" si="2"/>
        <v>1.2676886792452828E-5</v>
      </c>
      <c r="U49" s="85">
        <f t="shared" si="3"/>
        <v>2.4339622641509429E-5</v>
      </c>
    </row>
    <row r="50" spans="1:21" s="87" customFormat="1" x14ac:dyDescent="0.2">
      <c r="A50" s="88" t="s">
        <v>17</v>
      </c>
      <c r="B50" s="84">
        <f>MAX(M2_leaching!F7:G7)</f>
        <v>56.6</v>
      </c>
      <c r="C50" s="85">
        <f t="shared" si="12"/>
        <v>2.4451199999999999E-2</v>
      </c>
      <c r="D50" s="85">
        <f t="shared" si="4"/>
        <v>8.4112128000000008E-2</v>
      </c>
      <c r="E50" s="85">
        <f t="shared" si="5"/>
        <v>0.25233638400000002</v>
      </c>
      <c r="F50" s="85">
        <f t="shared" si="6"/>
        <v>1.7523359999999998E-2</v>
      </c>
      <c r="G50" s="85">
        <f t="shared" si="7"/>
        <v>4.2056064000000004E-2</v>
      </c>
      <c r="H50" s="86">
        <v>6.3</v>
      </c>
      <c r="I50" s="85">
        <f t="shared" si="0"/>
        <v>2.7814857142857141E-3</v>
      </c>
      <c r="J50" s="85">
        <f t="shared" si="1"/>
        <v>6.6755657142857153E-3</v>
      </c>
      <c r="L50" s="88" t="s">
        <v>17</v>
      </c>
      <c r="M50" s="84">
        <f>MAX(M2_leaching!F7:G7)</f>
        <v>56.6</v>
      </c>
      <c r="N50" s="85">
        <f t="shared" si="8"/>
        <v>2.4451199999999996E-2</v>
      </c>
      <c r="O50" s="85">
        <f t="shared" si="9"/>
        <v>8.4112127999999994E-2</v>
      </c>
      <c r="P50" s="85">
        <f t="shared" si="14"/>
        <v>0.25233638399999997</v>
      </c>
      <c r="Q50" s="85">
        <f t="shared" si="11"/>
        <v>3.0422499999999998E-4</v>
      </c>
      <c r="R50" s="85">
        <f t="shared" si="13"/>
        <v>5.8411199999999991E-4</v>
      </c>
      <c r="S50" s="86">
        <v>6.3</v>
      </c>
      <c r="T50" s="85">
        <f t="shared" si="2"/>
        <v>4.828968253968254E-5</v>
      </c>
      <c r="U50" s="85">
        <f t="shared" si="3"/>
        <v>9.2716190476190469E-5</v>
      </c>
    </row>
    <row r="51" spans="1:21" x14ac:dyDescent="0.2">
      <c r="A51" s="5" t="s">
        <v>16</v>
      </c>
      <c r="B51" s="4">
        <f>MAX(M2_leaching!F8:G8)</f>
        <v>2.6</v>
      </c>
      <c r="C51" s="2">
        <f t="shared" si="12"/>
        <v>1.1231999999999998E-3</v>
      </c>
      <c r="D51" s="2">
        <f t="shared" si="4"/>
        <v>3.8638079999999998E-3</v>
      </c>
      <c r="E51" s="2">
        <f t="shared" si="5"/>
        <v>1.1591423999999998E-2</v>
      </c>
      <c r="F51" s="2">
        <f t="shared" si="6"/>
        <v>8.0495999999999986E-4</v>
      </c>
      <c r="G51" s="2">
        <f t="shared" si="7"/>
        <v>1.9319039999999997E-3</v>
      </c>
      <c r="H51" s="3">
        <v>1650</v>
      </c>
      <c r="I51" s="2">
        <f t="shared" si="0"/>
        <v>4.878545454545454E-7</v>
      </c>
      <c r="J51" s="2">
        <f t="shared" si="1"/>
        <v>1.1708509090909089E-6</v>
      </c>
      <c r="L51" s="5" t="s">
        <v>16</v>
      </c>
      <c r="M51" s="4">
        <f>MAX(M2_leaching!F8:G8)</f>
        <v>2.6</v>
      </c>
      <c r="N51" s="2">
        <f t="shared" si="8"/>
        <v>1.1232E-3</v>
      </c>
      <c r="O51" s="2">
        <f t="shared" si="9"/>
        <v>3.8638080000000003E-3</v>
      </c>
      <c r="P51" s="2">
        <f t="shared" si="14"/>
        <v>1.1591424000000001E-2</v>
      </c>
      <c r="Q51" s="2">
        <f t="shared" si="11"/>
        <v>1.3974999999999999E-5</v>
      </c>
      <c r="R51" s="2">
        <f t="shared" si="13"/>
        <v>2.6832000000000003E-5</v>
      </c>
      <c r="S51" s="3">
        <v>1650</v>
      </c>
      <c r="T51" s="2">
        <f t="shared" si="2"/>
        <v>8.4696969696969696E-9</v>
      </c>
      <c r="U51" s="2">
        <f t="shared" si="3"/>
        <v>1.6261818181818185E-8</v>
      </c>
    </row>
    <row r="52" spans="1:21" s="87" customFormat="1" x14ac:dyDescent="0.2">
      <c r="A52" s="88" t="s">
        <v>14</v>
      </c>
      <c r="B52" s="84">
        <f>MAX(M2_leaching!F9:G9)</f>
        <v>341</v>
      </c>
      <c r="C52" s="85">
        <f t="shared" si="12"/>
        <v>0.147312</v>
      </c>
      <c r="D52" s="85">
        <f t="shared" si="4"/>
        <v>0.50675328000000008</v>
      </c>
      <c r="E52" s="85">
        <f t="shared" si="5"/>
        <v>1.52025984</v>
      </c>
      <c r="F52" s="85">
        <f t="shared" si="6"/>
        <v>0.1055736</v>
      </c>
      <c r="G52" s="85">
        <f t="shared" si="7"/>
        <v>0.25337663999999999</v>
      </c>
      <c r="H52" s="86">
        <v>34</v>
      </c>
      <c r="I52" s="85">
        <f t="shared" si="0"/>
        <v>3.1051058823529411E-3</v>
      </c>
      <c r="J52" s="85">
        <f t="shared" si="1"/>
        <v>7.4522541176470581E-3</v>
      </c>
      <c r="L52" s="88" t="s">
        <v>14</v>
      </c>
      <c r="M52" s="84">
        <f>MAX(M2_leaching!F9:G9)</f>
        <v>341</v>
      </c>
      <c r="N52" s="85">
        <f t="shared" si="8"/>
        <v>0.14731199999999997</v>
      </c>
      <c r="O52" s="85">
        <f t="shared" si="9"/>
        <v>0.50675327999999997</v>
      </c>
      <c r="P52" s="85">
        <f t="shared" si="14"/>
        <v>1.5202598399999998</v>
      </c>
      <c r="Q52" s="85">
        <f t="shared" si="11"/>
        <v>1.8328749999999999E-3</v>
      </c>
      <c r="R52" s="85">
        <f t="shared" si="13"/>
        <v>3.5191199999999997E-3</v>
      </c>
      <c r="S52" s="86">
        <v>34</v>
      </c>
      <c r="T52" s="85">
        <f t="shared" si="2"/>
        <v>5.3908088235294111E-5</v>
      </c>
      <c r="U52" s="85">
        <f t="shared" si="3"/>
        <v>1.035035294117647E-4</v>
      </c>
    </row>
    <row r="53" spans="1:21" x14ac:dyDescent="0.2">
      <c r="A53" s="79" t="s">
        <v>13</v>
      </c>
      <c r="B53" s="4">
        <f>MAX(M2_leaching!F10:G10)</f>
        <v>0</v>
      </c>
      <c r="C53" s="2">
        <f t="shared" si="12"/>
        <v>0</v>
      </c>
      <c r="D53" s="2">
        <f t="shared" si="4"/>
        <v>0</v>
      </c>
      <c r="E53" s="2">
        <f t="shared" si="5"/>
        <v>0</v>
      </c>
      <c r="F53" s="2">
        <f t="shared" si="6"/>
        <v>0</v>
      </c>
      <c r="G53" s="2">
        <f t="shared" si="7"/>
        <v>0</v>
      </c>
      <c r="H53" s="3">
        <v>11900</v>
      </c>
      <c r="I53" s="2">
        <f t="shared" si="0"/>
        <v>0</v>
      </c>
      <c r="J53" s="2">
        <f t="shared" si="1"/>
        <v>0</v>
      </c>
      <c r="L53" s="5" t="s">
        <v>13</v>
      </c>
      <c r="M53" s="4">
        <f>MAX(M2_leaching!F10:G10)</f>
        <v>0</v>
      </c>
      <c r="N53" s="2">
        <f t="shared" si="8"/>
        <v>0</v>
      </c>
      <c r="O53" s="2">
        <f t="shared" si="9"/>
        <v>0</v>
      </c>
      <c r="P53" s="2">
        <f t="shared" si="14"/>
        <v>0</v>
      </c>
      <c r="Q53" s="2">
        <f t="shared" si="11"/>
        <v>0</v>
      </c>
      <c r="R53" s="2">
        <f t="shared" si="13"/>
        <v>0</v>
      </c>
      <c r="S53" s="3">
        <v>11900</v>
      </c>
      <c r="T53" s="2">
        <f t="shared" si="2"/>
        <v>0</v>
      </c>
      <c r="U53" s="2">
        <f t="shared" si="3"/>
        <v>0</v>
      </c>
    </row>
    <row r="54" spans="1:21" x14ac:dyDescent="0.2">
      <c r="A54" s="5" t="s">
        <v>11</v>
      </c>
      <c r="B54" s="4">
        <f>MAX(M2_leaching!F11:G11)</f>
        <v>65.599999999999994</v>
      </c>
      <c r="C54" s="2">
        <f t="shared" si="12"/>
        <v>2.8339199999999991E-2</v>
      </c>
      <c r="D54" s="2">
        <f t="shared" si="4"/>
        <v>9.7486847999999973E-2</v>
      </c>
      <c r="E54" s="2">
        <f t="shared" si="5"/>
        <v>0.29246054399999993</v>
      </c>
      <c r="F54" s="2">
        <f t="shared" si="6"/>
        <v>2.0309759999999993E-2</v>
      </c>
      <c r="G54" s="2">
        <f t="shared" si="7"/>
        <v>4.8743423999999987E-2</v>
      </c>
      <c r="H54" s="3">
        <v>37</v>
      </c>
      <c r="I54" s="2">
        <f t="shared" si="0"/>
        <v>5.4891243243243223E-4</v>
      </c>
      <c r="J54" s="2">
        <f t="shared" si="1"/>
        <v>1.3173898378378375E-3</v>
      </c>
      <c r="L54" s="5" t="s">
        <v>11</v>
      </c>
      <c r="M54" s="4">
        <f>MAX(M2_leaching!F11:G11)</f>
        <v>65.599999999999994</v>
      </c>
      <c r="N54" s="2">
        <f t="shared" si="8"/>
        <v>2.8339199999999995E-2</v>
      </c>
      <c r="O54" s="2">
        <f t="shared" si="9"/>
        <v>9.7486847999999987E-2</v>
      </c>
      <c r="P54" s="2">
        <f t="shared" si="14"/>
        <v>0.29246054399999993</v>
      </c>
      <c r="Q54" s="2">
        <f t="shared" si="11"/>
        <v>3.5259999999999995E-4</v>
      </c>
      <c r="R54" s="2">
        <f t="shared" si="13"/>
        <v>6.7699199999999985E-4</v>
      </c>
      <c r="S54" s="3">
        <v>37</v>
      </c>
      <c r="T54" s="2">
        <f t="shared" si="2"/>
        <v>9.5297297297297284E-6</v>
      </c>
      <c r="U54" s="2">
        <f t="shared" si="3"/>
        <v>1.8297081081081076E-5</v>
      </c>
    </row>
    <row r="55" spans="1:21" x14ac:dyDescent="0.2">
      <c r="A55" s="5" t="s">
        <v>10</v>
      </c>
      <c r="B55" s="4">
        <f>MAX(M2_leaching!F12:G12)</f>
        <v>1</v>
      </c>
      <c r="C55" s="2">
        <f t="shared" si="12"/>
        <v>4.3199999999999993E-4</v>
      </c>
      <c r="D55" s="2">
        <f t="shared" si="4"/>
        <v>1.4860799999999999E-3</v>
      </c>
      <c r="E55" s="2">
        <f t="shared" si="5"/>
        <v>4.4582399999999996E-3</v>
      </c>
      <c r="F55" s="2">
        <f t="shared" si="6"/>
        <v>3.0959999999999994E-4</v>
      </c>
      <c r="G55" s="2">
        <f t="shared" si="7"/>
        <v>7.4303999999999993E-4</v>
      </c>
      <c r="H55" s="3">
        <v>4.0999999999999996</v>
      </c>
      <c r="I55" s="2">
        <f t="shared" si="0"/>
        <v>7.5512195121951208E-5</v>
      </c>
      <c r="J55" s="2">
        <f t="shared" si="1"/>
        <v>1.8122926829268292E-4</v>
      </c>
      <c r="L55" s="5" t="s">
        <v>10</v>
      </c>
      <c r="M55" s="4">
        <f>MAX(M2_leaching!F12:G12)</f>
        <v>1</v>
      </c>
      <c r="N55" s="2">
        <f t="shared" si="8"/>
        <v>4.3199999999999993E-4</v>
      </c>
      <c r="O55" s="2">
        <f t="shared" si="9"/>
        <v>1.4860799999999999E-3</v>
      </c>
      <c r="P55" s="2">
        <f t="shared" si="14"/>
        <v>4.4582399999999996E-3</v>
      </c>
      <c r="Q55" s="2">
        <f t="shared" si="11"/>
        <v>5.3749999999999994E-6</v>
      </c>
      <c r="R55" s="2">
        <f t="shared" si="13"/>
        <v>1.0319999999999999E-5</v>
      </c>
      <c r="S55" s="3">
        <v>4.0999999999999996</v>
      </c>
      <c r="T55" s="2">
        <f t="shared" si="2"/>
        <v>1.3109756097560976E-6</v>
      </c>
      <c r="U55" s="2">
        <f t="shared" si="3"/>
        <v>2.5170731707317076E-6</v>
      </c>
    </row>
    <row r="56" spans="1:21" s="87" customFormat="1" x14ac:dyDescent="0.2">
      <c r="A56" s="88" t="s">
        <v>9</v>
      </c>
      <c r="B56" s="84">
        <f>MAX(M2_leaching!F13:G13)</f>
        <v>550</v>
      </c>
      <c r="C56" s="85">
        <f t="shared" si="12"/>
        <v>0.23759999999999998</v>
      </c>
      <c r="D56" s="85">
        <f t="shared" si="4"/>
        <v>0.81734399999999996</v>
      </c>
      <c r="E56" s="85">
        <f t="shared" si="5"/>
        <v>2.452032</v>
      </c>
      <c r="F56" s="85">
        <f t="shared" si="6"/>
        <v>0.17027999999999996</v>
      </c>
      <c r="G56" s="85">
        <f t="shared" si="7"/>
        <v>0.40867199999999998</v>
      </c>
      <c r="H56" s="86">
        <v>14.4</v>
      </c>
      <c r="I56" s="85">
        <f t="shared" si="0"/>
        <v>1.1824999999999997E-2</v>
      </c>
      <c r="J56" s="85">
        <f t="shared" si="1"/>
        <v>2.8379999999999999E-2</v>
      </c>
      <c r="L56" s="88" t="s">
        <v>9</v>
      </c>
      <c r="M56" s="84">
        <f>MAX(M2_leaching!F13:G13)</f>
        <v>550</v>
      </c>
      <c r="N56" s="85">
        <f t="shared" si="8"/>
        <v>0.23759999999999998</v>
      </c>
      <c r="O56" s="85">
        <f t="shared" si="9"/>
        <v>0.81734399999999996</v>
      </c>
      <c r="P56" s="85">
        <f t="shared" si="14"/>
        <v>2.452032</v>
      </c>
      <c r="Q56" s="85">
        <f t="shared" si="11"/>
        <v>2.9562499999999997E-3</v>
      </c>
      <c r="R56" s="85">
        <f t="shared" si="13"/>
        <v>5.6759999999999996E-3</v>
      </c>
      <c r="S56" s="86">
        <v>14.4</v>
      </c>
      <c r="T56" s="85">
        <f t="shared" si="2"/>
        <v>2.0529513888888887E-4</v>
      </c>
      <c r="U56" s="85">
        <f t="shared" si="3"/>
        <v>3.9416666666666663E-4</v>
      </c>
    </row>
    <row r="57" spans="1:21" x14ac:dyDescent="0.2">
      <c r="A57" s="5" t="s">
        <v>6</v>
      </c>
      <c r="B57" s="4">
        <f>MAX(M2_leaching!F14:G14)</f>
        <v>9.4E-2</v>
      </c>
      <c r="C57" s="2">
        <f t="shared" si="12"/>
        <v>4.0607999999999995E-5</v>
      </c>
      <c r="D57" s="2">
        <f t="shared" si="4"/>
        <v>1.3969152000000001E-4</v>
      </c>
      <c r="E57" s="2">
        <f t="shared" si="5"/>
        <v>4.1907455999999995E-4</v>
      </c>
      <c r="F57" s="2">
        <f t="shared" si="6"/>
        <v>2.9102399999999998E-5</v>
      </c>
      <c r="G57" s="2">
        <f t="shared" si="7"/>
        <v>6.9845759999999992E-5</v>
      </c>
      <c r="H57" s="3">
        <v>0.19</v>
      </c>
      <c r="I57" s="2">
        <f t="shared" si="0"/>
        <v>1.5317052631578945E-4</v>
      </c>
      <c r="J57" s="2">
        <f t="shared" si="1"/>
        <v>3.676092631578947E-4</v>
      </c>
      <c r="L57" s="5" t="s">
        <v>6</v>
      </c>
      <c r="M57" s="4">
        <f>MAX(M2_leaching!F14:G14)</f>
        <v>9.4E-2</v>
      </c>
      <c r="N57" s="2">
        <f t="shared" si="8"/>
        <v>4.0607999999999988E-5</v>
      </c>
      <c r="O57" s="2">
        <f t="shared" si="9"/>
        <v>1.3969151999999998E-4</v>
      </c>
      <c r="P57" s="2">
        <f t="shared" si="14"/>
        <v>4.1907455999999984E-4</v>
      </c>
      <c r="Q57" s="2">
        <f t="shared" si="11"/>
        <v>5.0524999999999995E-7</v>
      </c>
      <c r="R57" s="2">
        <f t="shared" si="13"/>
        <v>9.700799999999997E-7</v>
      </c>
      <c r="S57" s="3">
        <v>0.19</v>
      </c>
      <c r="T57" s="2">
        <f t="shared" si="2"/>
        <v>2.6592105263157893E-6</v>
      </c>
      <c r="U57" s="2">
        <f t="shared" si="3"/>
        <v>5.1056842105263143E-6</v>
      </c>
    </row>
    <row r="58" spans="1:21" x14ac:dyDescent="0.2">
      <c r="A58" s="5" t="s">
        <v>5</v>
      </c>
      <c r="B58" s="4">
        <f>MAX(M2_leaching!F15:G15)</f>
        <v>0.42499999999999999</v>
      </c>
      <c r="C58" s="2">
        <f t="shared" si="12"/>
        <v>1.8359999999999996E-4</v>
      </c>
      <c r="D58" s="2">
        <f t="shared" si="4"/>
        <v>6.3158399999999992E-4</v>
      </c>
      <c r="E58" s="2">
        <f t="shared" si="5"/>
        <v>1.8947519999999998E-3</v>
      </c>
      <c r="F58" s="2">
        <f t="shared" si="6"/>
        <v>1.3157999999999996E-4</v>
      </c>
      <c r="G58" s="2">
        <f t="shared" si="7"/>
        <v>3.1579199999999996E-4</v>
      </c>
      <c r="H58" s="3">
        <v>6.5</v>
      </c>
      <c r="I58" s="2">
        <f t="shared" si="0"/>
        <v>2.0243076923076916E-5</v>
      </c>
      <c r="J58" s="2">
        <f t="shared" si="1"/>
        <v>4.8583384615384611E-5</v>
      </c>
      <c r="L58" s="5" t="s">
        <v>5</v>
      </c>
      <c r="M58" s="4">
        <f>MAX(M2_leaching!F15:G15)</f>
        <v>0.42499999999999999</v>
      </c>
      <c r="N58" s="2">
        <f t="shared" si="8"/>
        <v>1.8359999999999996E-4</v>
      </c>
      <c r="O58" s="2">
        <f t="shared" si="9"/>
        <v>6.3158399999999992E-4</v>
      </c>
      <c r="P58" s="2">
        <f t="shared" si="14"/>
        <v>1.8947519999999998E-3</v>
      </c>
      <c r="Q58" s="2">
        <f t="shared" si="11"/>
        <v>2.2843749999999996E-6</v>
      </c>
      <c r="R58" s="2">
        <f t="shared" si="13"/>
        <v>4.3859999999999992E-6</v>
      </c>
      <c r="S58" s="3">
        <v>6.5</v>
      </c>
      <c r="T58" s="2">
        <f t="shared" si="2"/>
        <v>3.5144230769230764E-7</v>
      </c>
      <c r="U58" s="2">
        <f t="shared" si="3"/>
        <v>6.747692307692306E-7</v>
      </c>
    </row>
    <row r="59" spans="1:21" x14ac:dyDescent="0.2">
      <c r="A59" s="5" t="s">
        <v>4</v>
      </c>
      <c r="B59" s="4">
        <f>MAX(M2_leaching!F16:G16)</f>
        <v>63.6</v>
      </c>
      <c r="C59" s="2">
        <f t="shared" si="12"/>
        <v>2.7475199999999998E-2</v>
      </c>
      <c r="D59" s="2">
        <f t="shared" si="4"/>
        <v>9.4514687999999999E-2</v>
      </c>
      <c r="E59" s="2">
        <f t="shared" si="5"/>
        <v>0.28354406399999998</v>
      </c>
      <c r="F59" s="2">
        <f t="shared" si="6"/>
        <v>1.9690559999999996E-2</v>
      </c>
      <c r="G59" s="2">
        <f t="shared" si="7"/>
        <v>4.7257344E-2</v>
      </c>
      <c r="H59" s="3">
        <v>20</v>
      </c>
      <c r="I59" s="2">
        <f t="shared" si="0"/>
        <v>9.8452799999999971E-4</v>
      </c>
      <c r="J59" s="2">
        <f t="shared" si="1"/>
        <v>2.3628671999999999E-3</v>
      </c>
      <c r="L59" s="5" t="s">
        <v>4</v>
      </c>
      <c r="M59" s="4">
        <f>MAX(M2_leaching!F16:G16)</f>
        <v>63.6</v>
      </c>
      <c r="N59" s="2">
        <f t="shared" si="8"/>
        <v>2.7475199999999998E-2</v>
      </c>
      <c r="O59" s="2">
        <f t="shared" si="9"/>
        <v>9.4514687999999999E-2</v>
      </c>
      <c r="P59" s="2">
        <f t="shared" si="14"/>
        <v>0.28354406399999998</v>
      </c>
      <c r="Q59" s="2">
        <f t="shared" si="11"/>
        <v>3.4184999999999999E-4</v>
      </c>
      <c r="R59" s="2">
        <f t="shared" si="13"/>
        <v>6.5635199999999991E-4</v>
      </c>
      <c r="S59" s="3">
        <v>20</v>
      </c>
      <c r="T59" s="2">
        <f t="shared" si="2"/>
        <v>1.7092499999999999E-5</v>
      </c>
      <c r="U59" s="2">
        <f t="shared" si="3"/>
        <v>3.2817599999999996E-5</v>
      </c>
    </row>
    <row r="60" spans="1:21" x14ac:dyDescent="0.2">
      <c r="A60" s="79" t="s">
        <v>3</v>
      </c>
      <c r="B60" s="4">
        <f>MAX(M2_leaching!F17:G17)</f>
        <v>0</v>
      </c>
      <c r="C60" s="2">
        <f t="shared" si="12"/>
        <v>0</v>
      </c>
      <c r="D60" s="2">
        <f t="shared" si="4"/>
        <v>0</v>
      </c>
      <c r="E60" s="2">
        <f t="shared" si="5"/>
        <v>0</v>
      </c>
      <c r="F60" s="2">
        <f t="shared" si="6"/>
        <v>0</v>
      </c>
      <c r="G60" s="2">
        <f t="shared" si="7"/>
        <v>0</v>
      </c>
      <c r="H60" s="3">
        <v>2.4</v>
      </c>
      <c r="I60" s="2">
        <f t="shared" si="0"/>
        <v>0</v>
      </c>
      <c r="J60" s="2">
        <f t="shared" si="1"/>
        <v>0</v>
      </c>
      <c r="L60" s="5" t="s">
        <v>3</v>
      </c>
      <c r="M60" s="4">
        <f>MAX(M2_leaching!F17:G17)</f>
        <v>0</v>
      </c>
      <c r="N60" s="2">
        <f t="shared" si="8"/>
        <v>0</v>
      </c>
      <c r="O60" s="2">
        <f t="shared" si="9"/>
        <v>0</v>
      </c>
      <c r="P60" s="2">
        <f t="shared" si="14"/>
        <v>0</v>
      </c>
      <c r="Q60" s="2">
        <f t="shared" si="11"/>
        <v>0</v>
      </c>
      <c r="R60" s="2">
        <f t="shared" si="13"/>
        <v>0</v>
      </c>
      <c r="S60" s="3">
        <v>2.4</v>
      </c>
      <c r="T60" s="2">
        <f t="shared" si="2"/>
        <v>0</v>
      </c>
      <c r="U60" s="2">
        <f t="shared" si="3"/>
        <v>0</v>
      </c>
    </row>
    <row r="61" spans="1:21" x14ac:dyDescent="0.2">
      <c r="A61" s="5" t="s">
        <v>2</v>
      </c>
      <c r="B61" s="4">
        <f>MAX(M2_leaching!F18:G18)</f>
        <v>2.2599999999999998</v>
      </c>
      <c r="C61" s="2">
        <f t="shared" si="12"/>
        <v>9.7631999999999981E-4</v>
      </c>
      <c r="D61" s="2">
        <f t="shared" si="4"/>
        <v>3.3585407999999991E-3</v>
      </c>
      <c r="E61" s="2">
        <f t="shared" si="5"/>
        <v>1.0075622399999998E-2</v>
      </c>
      <c r="F61" s="2">
        <f t="shared" si="6"/>
        <v>6.9969599999999976E-4</v>
      </c>
      <c r="G61" s="2">
        <f t="shared" si="7"/>
        <v>1.6792703999999996E-3</v>
      </c>
      <c r="H61" s="3">
        <v>5.6</v>
      </c>
      <c r="I61" s="2">
        <f t="shared" si="0"/>
        <v>1.2494571428571424E-4</v>
      </c>
      <c r="J61" s="2">
        <f t="shared" si="1"/>
        <v>2.9986971428571421E-4</v>
      </c>
      <c r="L61" s="5" t="s">
        <v>2</v>
      </c>
      <c r="M61" s="4">
        <f>MAX(M2_leaching!F18:G18)</f>
        <v>2.2599999999999998</v>
      </c>
      <c r="N61" s="2">
        <f t="shared" si="8"/>
        <v>9.7631999999999971E-4</v>
      </c>
      <c r="O61" s="2">
        <f t="shared" si="9"/>
        <v>3.3585407999999991E-3</v>
      </c>
      <c r="P61" s="2">
        <f t="shared" si="14"/>
        <v>1.0075622399999998E-2</v>
      </c>
      <c r="Q61" s="2">
        <f t="shared" si="11"/>
        <v>1.2147499999999997E-5</v>
      </c>
      <c r="R61" s="2">
        <f t="shared" si="13"/>
        <v>2.3323199999999994E-5</v>
      </c>
      <c r="S61" s="3">
        <v>5.6</v>
      </c>
      <c r="T61" s="2">
        <f t="shared" si="2"/>
        <v>2.169196428571428E-6</v>
      </c>
      <c r="U61" s="2">
        <f t="shared" si="3"/>
        <v>4.1648571428571418E-6</v>
      </c>
    </row>
    <row r="62" spans="1:21" s="87" customFormat="1" x14ac:dyDescent="0.2">
      <c r="A62" s="88" t="s">
        <v>1</v>
      </c>
      <c r="B62" s="84">
        <f>MAX(M2_leaching!F19:G19)</f>
        <v>2680</v>
      </c>
      <c r="C62" s="85">
        <f t="shared" si="12"/>
        <v>1.1577599999999999</v>
      </c>
      <c r="D62" s="85">
        <f t="shared" si="4"/>
        <v>3.9826943999999997</v>
      </c>
      <c r="E62" s="85">
        <f t="shared" si="5"/>
        <v>11.948083199999999</v>
      </c>
      <c r="F62" s="85">
        <f t="shared" si="6"/>
        <v>0.8297279999999998</v>
      </c>
      <c r="G62" s="85">
        <f t="shared" si="7"/>
        <v>1.9913471999999999</v>
      </c>
      <c r="H62" s="86">
        <v>28</v>
      </c>
      <c r="I62" s="85">
        <f t="shared" si="0"/>
        <v>2.9633142857142851E-2</v>
      </c>
      <c r="J62" s="85">
        <f t="shared" si="1"/>
        <v>7.1119542857142851E-2</v>
      </c>
      <c r="L62" s="88" t="s">
        <v>1</v>
      </c>
      <c r="M62" s="84">
        <f>MAX(M2_leaching!F19:G19)</f>
        <v>2680</v>
      </c>
      <c r="N62" s="85">
        <f t="shared" si="8"/>
        <v>1.1577599999999997</v>
      </c>
      <c r="O62" s="85">
        <f t="shared" si="9"/>
        <v>3.9826943999999993</v>
      </c>
      <c r="P62" s="85">
        <f t="shared" si="14"/>
        <v>11.948083199999997</v>
      </c>
      <c r="Q62" s="85">
        <f t="shared" si="11"/>
        <v>1.4404999999999996E-2</v>
      </c>
      <c r="R62" s="85">
        <f t="shared" si="13"/>
        <v>2.7657599999999994E-2</v>
      </c>
      <c r="S62" s="86">
        <v>28</v>
      </c>
      <c r="T62" s="85">
        <f t="shared" si="2"/>
        <v>5.1446428571428552E-4</v>
      </c>
      <c r="U62" s="85">
        <f t="shared" si="3"/>
        <v>9.8777142857142826E-4</v>
      </c>
    </row>
    <row r="63" spans="1:21" ht="16" thickBot="1" x14ac:dyDescent="0.25">
      <c r="A63" s="79" t="s">
        <v>0</v>
      </c>
      <c r="B63" s="4">
        <f>MAX(M2_leaching!F20:G20)</f>
        <v>0</v>
      </c>
      <c r="C63" s="2">
        <f t="shared" si="12"/>
        <v>0</v>
      </c>
      <c r="D63" s="2">
        <f t="shared" si="4"/>
        <v>0</v>
      </c>
      <c r="E63" s="2">
        <f t="shared" si="5"/>
        <v>0</v>
      </c>
      <c r="F63" s="2">
        <f t="shared" ref="F63" si="15">D63/$B$16</f>
        <v>0</v>
      </c>
      <c r="G63" s="2">
        <f t="shared" si="7"/>
        <v>0</v>
      </c>
      <c r="H63" s="3">
        <v>170</v>
      </c>
      <c r="I63" s="2">
        <f t="shared" si="0"/>
        <v>0</v>
      </c>
      <c r="J63" s="2">
        <f t="shared" si="1"/>
        <v>0</v>
      </c>
      <c r="L63" s="5" t="s">
        <v>0</v>
      </c>
      <c r="M63" s="4">
        <f>MAX(M2_leaching!F20:G20)</f>
        <v>0</v>
      </c>
      <c r="N63" s="2">
        <f t="shared" si="8"/>
        <v>0</v>
      </c>
      <c r="O63" s="2">
        <f t="shared" si="9"/>
        <v>0</v>
      </c>
      <c r="P63" s="2">
        <f t="shared" si="14"/>
        <v>0</v>
      </c>
      <c r="Q63" s="2">
        <f t="shared" si="11"/>
        <v>0</v>
      </c>
      <c r="R63" s="2">
        <f t="shared" si="13"/>
        <v>0</v>
      </c>
      <c r="S63" s="3">
        <v>170</v>
      </c>
      <c r="T63" s="2">
        <f t="shared" si="2"/>
        <v>0</v>
      </c>
      <c r="U63" s="2">
        <f t="shared" si="3"/>
        <v>0</v>
      </c>
    </row>
    <row r="64" spans="1:21" ht="17" thickTop="1" thickBot="1" x14ac:dyDescent="0.25">
      <c r="A64" s="90" t="s">
        <v>31</v>
      </c>
      <c r="B64" s="90"/>
      <c r="C64" s="90"/>
      <c r="D64" s="90"/>
      <c r="E64" s="90"/>
      <c r="F64" s="90"/>
      <c r="G64" s="90"/>
      <c r="H64" s="90"/>
      <c r="I64" s="90"/>
      <c r="J64" s="90"/>
      <c r="L64" s="90" t="s">
        <v>31</v>
      </c>
      <c r="M64" s="90"/>
      <c r="N64" s="90"/>
      <c r="O64" s="90"/>
      <c r="P64" s="90"/>
      <c r="Q64" s="90"/>
      <c r="R64" s="90"/>
      <c r="S64" s="90"/>
      <c r="T64" s="90"/>
      <c r="U64" s="90"/>
    </row>
    <row r="65" spans="1:21" ht="16" thickTop="1" x14ac:dyDescent="0.2">
      <c r="A65" s="93" t="s">
        <v>46</v>
      </c>
      <c r="B65" s="94"/>
      <c r="C65" s="94"/>
      <c r="D65" s="94"/>
      <c r="E65" s="94"/>
      <c r="F65" s="94"/>
      <c r="G65" s="94"/>
      <c r="H65" s="94"/>
      <c r="I65" s="94"/>
      <c r="J65" s="94"/>
      <c r="L65" s="93" t="s">
        <v>142</v>
      </c>
      <c r="M65" s="94"/>
      <c r="N65" s="94"/>
      <c r="O65" s="94"/>
      <c r="P65" s="94"/>
      <c r="Q65" s="94"/>
      <c r="R65" s="94"/>
      <c r="S65" s="94"/>
      <c r="T65" s="94"/>
      <c r="U65" s="94"/>
    </row>
    <row r="66" spans="1:21" x14ac:dyDescent="0.2">
      <c r="A66" s="8" t="s">
        <v>30</v>
      </c>
      <c r="B66" s="8" t="s">
        <v>29</v>
      </c>
      <c r="C66" s="8" t="s">
        <v>175</v>
      </c>
      <c r="D66" s="8" t="s">
        <v>44</v>
      </c>
      <c r="E66" s="8" t="s">
        <v>43</v>
      </c>
      <c r="F66" s="8" t="s">
        <v>42</v>
      </c>
      <c r="G66" s="8" t="s">
        <v>41</v>
      </c>
      <c r="H66" s="11" t="s">
        <v>28</v>
      </c>
      <c r="I66" s="9" t="s">
        <v>27</v>
      </c>
      <c r="J66" s="8" t="s">
        <v>27</v>
      </c>
      <c r="L66" s="8" t="s">
        <v>30</v>
      </c>
      <c r="M66" s="8" t="s">
        <v>29</v>
      </c>
      <c r="N66" s="8" t="s">
        <v>175</v>
      </c>
      <c r="O66" s="8" t="s">
        <v>44</v>
      </c>
      <c r="P66" s="8" t="s">
        <v>43</v>
      </c>
      <c r="Q66" s="8" t="s">
        <v>42</v>
      </c>
      <c r="R66" s="8" t="s">
        <v>41</v>
      </c>
      <c r="S66" s="11" t="s">
        <v>28</v>
      </c>
      <c r="T66" s="9" t="s">
        <v>27</v>
      </c>
      <c r="U66" s="8" t="s">
        <v>27</v>
      </c>
    </row>
    <row r="67" spans="1:21" x14ac:dyDescent="0.2">
      <c r="A67" s="8"/>
      <c r="B67" s="8" t="s">
        <v>26</v>
      </c>
      <c r="C67" s="8" t="s">
        <v>40</v>
      </c>
      <c r="D67" s="8" t="s">
        <v>39</v>
      </c>
      <c r="E67" s="8" t="s">
        <v>39</v>
      </c>
      <c r="F67" s="8" t="s">
        <v>38</v>
      </c>
      <c r="G67" s="8" t="s">
        <v>38</v>
      </c>
      <c r="H67" s="10" t="s">
        <v>26</v>
      </c>
      <c r="I67" s="9" t="s">
        <v>25</v>
      </c>
      <c r="J67" s="8" t="s">
        <v>24</v>
      </c>
      <c r="L67" s="8"/>
      <c r="M67" s="8" t="s">
        <v>26</v>
      </c>
      <c r="N67" s="8" t="s">
        <v>40</v>
      </c>
      <c r="O67" s="8" t="s">
        <v>39</v>
      </c>
      <c r="P67" s="8" t="s">
        <v>39</v>
      </c>
      <c r="Q67" s="8" t="s">
        <v>38</v>
      </c>
      <c r="R67" s="8" t="s">
        <v>38</v>
      </c>
      <c r="S67" s="10" t="s">
        <v>26</v>
      </c>
      <c r="T67" s="9" t="s">
        <v>25</v>
      </c>
      <c r="U67" s="8" t="s">
        <v>24</v>
      </c>
    </row>
    <row r="68" spans="1:21" x14ac:dyDescent="0.2">
      <c r="A68" s="5" t="s">
        <v>23</v>
      </c>
      <c r="B68" s="4">
        <f>MAX(M2_leaching!F3:G3)</f>
        <v>0</v>
      </c>
      <c r="C68" s="2">
        <f>2*B68*$B$39/1000</f>
        <v>0</v>
      </c>
      <c r="D68" s="2">
        <f>C68*$B$35/$B$34</f>
        <v>0</v>
      </c>
      <c r="E68" s="2">
        <f>C68*$B$36/$B$34</f>
        <v>0</v>
      </c>
      <c r="F68" s="2">
        <f>D68/$E$16</f>
        <v>0</v>
      </c>
      <c r="G68" s="2">
        <f>E68/$E$17</f>
        <v>0</v>
      </c>
      <c r="H68" s="7">
        <v>5.7000000000000002E-2</v>
      </c>
      <c r="I68" s="2">
        <f>F68/H68</f>
        <v>0</v>
      </c>
      <c r="J68" s="2">
        <f>G68/H68</f>
        <v>0</v>
      </c>
      <c r="L68" s="5" t="s">
        <v>23</v>
      </c>
      <c r="M68" s="4">
        <f>MAX(M2_leaching!F3:G3)</f>
        <v>0</v>
      </c>
      <c r="N68" s="2">
        <f>2*M68*$B$39/1000</f>
        <v>0</v>
      </c>
      <c r="O68" s="2">
        <f>N68*$B$35/$B$34</f>
        <v>0</v>
      </c>
      <c r="P68" s="2">
        <f>N68*$B$36/$B$34</f>
        <v>0</v>
      </c>
      <c r="Q68" s="2">
        <f>O68/($E$16*$B$30)</f>
        <v>0</v>
      </c>
      <c r="R68" s="2">
        <f>P68/($E$17*$E$30)</f>
        <v>0</v>
      </c>
      <c r="S68" s="7">
        <v>5.7000000000000002E-2</v>
      </c>
      <c r="T68" s="2">
        <f>Q68/S68</f>
        <v>0</v>
      </c>
      <c r="U68" s="2">
        <f>R68/S68</f>
        <v>0</v>
      </c>
    </row>
    <row r="69" spans="1:21" x14ac:dyDescent="0.2">
      <c r="A69" s="5" t="s">
        <v>22</v>
      </c>
      <c r="B69" s="4">
        <f>MAX(M2_leaching!F4:G4)</f>
        <v>17.100000000000001</v>
      </c>
      <c r="C69" s="2">
        <f t="shared" ref="C69:C85" si="16">2*B69*$B$39/1000</f>
        <v>7.3872E-3</v>
      </c>
      <c r="D69" s="2">
        <f t="shared" ref="D69:D85" si="17">C69*$B$35/$B$34</f>
        <v>2.5411968000000004E-2</v>
      </c>
      <c r="E69" s="2">
        <f t="shared" ref="E69:E85" si="18">C69*$B$36/$B$34</f>
        <v>7.6235904000000007E-2</v>
      </c>
      <c r="F69" s="2">
        <f t="shared" ref="F69:F85" si="19">D69/$E$16</f>
        <v>4.2353280000000009E-3</v>
      </c>
      <c r="G69" s="2">
        <f t="shared" ref="G69:G85" si="20">E69/$E$17</f>
        <v>1.0164787200000001E-2</v>
      </c>
      <c r="H69" s="7">
        <v>114.7</v>
      </c>
      <c r="I69" s="2">
        <f t="shared" ref="I69:I85" si="21">F69/H69</f>
        <v>3.6925265911072366E-5</v>
      </c>
      <c r="J69" s="2">
        <f t="shared" ref="J69:J85" si="22">G69/H69</f>
        <v>8.8620638186573671E-5</v>
      </c>
      <c r="L69" s="5" t="s">
        <v>22</v>
      </c>
      <c r="M69" s="4">
        <f>MAX(M2_leaching!F4:G4)</f>
        <v>17.100000000000001</v>
      </c>
      <c r="N69" s="2">
        <f t="shared" ref="N69:N84" si="23">2*M69*$B$39/1000</f>
        <v>7.3872E-3</v>
      </c>
      <c r="O69" s="2">
        <f t="shared" ref="O69:O85" si="24">N69*$B$35/$B$34</f>
        <v>2.5411968000000004E-2</v>
      </c>
      <c r="P69" s="2">
        <f t="shared" ref="P69:P85" si="25">N69*$B$36/$B$34</f>
        <v>7.6235904000000007E-2</v>
      </c>
      <c r="Q69" s="2">
        <f t="shared" ref="Q69:Q85" si="26">O69/($E$16*$B$30)</f>
        <v>6.5359999999999998E-7</v>
      </c>
      <c r="R69" s="2">
        <f t="shared" ref="R69:R85" si="27">P69/($E$17*$E$30)</f>
        <v>1.5686399999999997E-6</v>
      </c>
      <c r="S69" s="7">
        <v>114.7</v>
      </c>
      <c r="T69" s="2">
        <f t="shared" ref="T69:T85" si="28">Q69/S69</f>
        <v>5.6983435047951175E-9</v>
      </c>
      <c r="U69" s="2">
        <f t="shared" ref="U69:U85" si="29">R69/S69</f>
        <v>1.367602441150828E-8</v>
      </c>
    </row>
    <row r="70" spans="1:21" x14ac:dyDescent="0.2">
      <c r="A70" s="5" t="s">
        <v>20</v>
      </c>
      <c r="B70" s="4">
        <f>MAX(M2_leaching!F5:G5)</f>
        <v>59</v>
      </c>
      <c r="C70" s="2">
        <f t="shared" si="16"/>
        <v>2.5487999999999997E-2</v>
      </c>
      <c r="D70" s="2">
        <f t="shared" si="17"/>
        <v>8.7678720000000002E-2</v>
      </c>
      <c r="E70" s="2">
        <f t="shared" si="18"/>
        <v>0.26303615999999996</v>
      </c>
      <c r="F70" s="2">
        <f t="shared" si="19"/>
        <v>1.461312E-2</v>
      </c>
      <c r="G70" s="2">
        <f t="shared" si="20"/>
        <v>3.5071487999999998E-2</v>
      </c>
      <c r="H70" s="6">
        <v>2900</v>
      </c>
      <c r="I70" s="2">
        <f t="shared" si="21"/>
        <v>5.0390068965517242E-6</v>
      </c>
      <c r="J70" s="2">
        <f t="shared" si="22"/>
        <v>1.2093616551724137E-5</v>
      </c>
      <c r="L70" s="5" t="s">
        <v>20</v>
      </c>
      <c r="M70" s="4">
        <f>MAX(M2_leaching!F5:G5)</f>
        <v>59</v>
      </c>
      <c r="N70" s="2">
        <f t="shared" si="23"/>
        <v>2.5487999999999997E-2</v>
      </c>
      <c r="O70" s="2">
        <f t="shared" si="24"/>
        <v>8.7678720000000002E-2</v>
      </c>
      <c r="P70" s="2">
        <f t="shared" si="25"/>
        <v>0.26303615999999996</v>
      </c>
      <c r="Q70" s="2">
        <f t="shared" si="26"/>
        <v>2.2551111111111108E-6</v>
      </c>
      <c r="R70" s="2">
        <f t="shared" si="27"/>
        <v>5.4122666666666639E-6</v>
      </c>
      <c r="S70" s="6">
        <v>2900</v>
      </c>
      <c r="T70" s="2">
        <f t="shared" si="28"/>
        <v>7.7762452107279682E-10</v>
      </c>
      <c r="U70" s="2">
        <f t="shared" si="29"/>
        <v>1.8662988505747115E-9</v>
      </c>
    </row>
    <row r="71" spans="1:21" x14ac:dyDescent="0.2">
      <c r="A71" s="5" t="s">
        <v>18</v>
      </c>
      <c r="B71" s="4">
        <f>MAX(M2_leaching!F6:G6)</f>
        <v>2.5</v>
      </c>
      <c r="C71" s="2">
        <f t="shared" si="16"/>
        <v>1.0799999999999998E-3</v>
      </c>
      <c r="D71" s="2">
        <f t="shared" si="17"/>
        <v>3.7151999999999997E-3</v>
      </c>
      <c r="E71" s="2">
        <f t="shared" si="18"/>
        <v>1.1145599999999999E-2</v>
      </c>
      <c r="F71" s="2">
        <f t="shared" si="19"/>
        <v>6.1919999999999998E-4</v>
      </c>
      <c r="G71" s="2">
        <f t="shared" si="20"/>
        <v>1.4860799999999999E-3</v>
      </c>
      <c r="H71" s="3">
        <v>1.06</v>
      </c>
      <c r="I71" s="2">
        <f t="shared" si="21"/>
        <v>5.8415094339622634E-4</v>
      </c>
      <c r="J71" s="2">
        <f t="shared" si="22"/>
        <v>1.4019622641509432E-3</v>
      </c>
      <c r="L71" s="5" t="s">
        <v>18</v>
      </c>
      <c r="M71" s="4">
        <f>MAX(M2_leaching!F6:G6)</f>
        <v>2.5</v>
      </c>
      <c r="N71" s="2">
        <f t="shared" si="23"/>
        <v>1.0799999999999998E-3</v>
      </c>
      <c r="O71" s="2">
        <f t="shared" si="24"/>
        <v>3.7151999999999997E-3</v>
      </c>
      <c r="P71" s="2">
        <f t="shared" si="25"/>
        <v>1.1145599999999999E-2</v>
      </c>
      <c r="Q71" s="2">
        <f t="shared" si="26"/>
        <v>9.5555555555555529E-8</v>
      </c>
      <c r="R71" s="2">
        <f t="shared" si="27"/>
        <v>2.2933333333333324E-7</v>
      </c>
      <c r="S71" s="3">
        <v>1.06</v>
      </c>
      <c r="T71" s="2">
        <f t="shared" si="28"/>
        <v>9.0146750524108981E-8</v>
      </c>
      <c r="U71" s="2">
        <f t="shared" si="29"/>
        <v>2.1635220125786154E-7</v>
      </c>
    </row>
    <row r="72" spans="1:21" x14ac:dyDescent="0.2">
      <c r="A72" s="5" t="s">
        <v>17</v>
      </c>
      <c r="B72" s="4">
        <f>MAX(M2_leaching!F7:G7)</f>
        <v>56.6</v>
      </c>
      <c r="C72" s="2">
        <f t="shared" si="16"/>
        <v>2.4451199999999996E-2</v>
      </c>
      <c r="D72" s="2">
        <f t="shared" si="17"/>
        <v>8.4112127999999994E-2</v>
      </c>
      <c r="E72" s="2">
        <f t="shared" si="18"/>
        <v>0.25233638399999997</v>
      </c>
      <c r="F72" s="2">
        <f t="shared" si="19"/>
        <v>1.4018688E-2</v>
      </c>
      <c r="G72" s="2">
        <f t="shared" si="20"/>
        <v>3.3644851199999999E-2</v>
      </c>
      <c r="H72" s="3">
        <v>6.3</v>
      </c>
      <c r="I72" s="2">
        <f t="shared" si="21"/>
        <v>2.2251885714285715E-3</v>
      </c>
      <c r="J72" s="2">
        <f t="shared" si="22"/>
        <v>5.3404525714285719E-3</v>
      </c>
      <c r="L72" s="5" t="s">
        <v>17</v>
      </c>
      <c r="M72" s="4">
        <f>MAX(M2_leaching!F7:G7)</f>
        <v>56.6</v>
      </c>
      <c r="N72" s="2">
        <f t="shared" si="23"/>
        <v>2.4451199999999996E-2</v>
      </c>
      <c r="O72" s="2">
        <f t="shared" si="24"/>
        <v>8.4112127999999994E-2</v>
      </c>
      <c r="P72" s="2">
        <f t="shared" si="25"/>
        <v>0.25233638399999997</v>
      </c>
      <c r="Q72" s="2">
        <f t="shared" si="26"/>
        <v>2.1633777777777771E-6</v>
      </c>
      <c r="R72" s="2">
        <f t="shared" si="27"/>
        <v>5.1921066666666641E-6</v>
      </c>
      <c r="S72" s="3">
        <v>6.3</v>
      </c>
      <c r="T72" s="2">
        <f t="shared" si="28"/>
        <v>3.4339329805996464E-7</v>
      </c>
      <c r="U72" s="2">
        <f t="shared" si="29"/>
        <v>8.24143915343915E-7</v>
      </c>
    </row>
    <row r="73" spans="1:21" x14ac:dyDescent="0.2">
      <c r="A73" s="5" t="s">
        <v>16</v>
      </c>
      <c r="B73" s="4">
        <f>MAX(M2_leaching!F8:G8)</f>
        <v>2.6</v>
      </c>
      <c r="C73" s="2">
        <f t="shared" si="16"/>
        <v>1.1232E-3</v>
      </c>
      <c r="D73" s="2">
        <f t="shared" si="17"/>
        <v>3.8638080000000003E-3</v>
      </c>
      <c r="E73" s="2">
        <f t="shared" si="18"/>
        <v>1.1591424000000001E-2</v>
      </c>
      <c r="F73" s="2">
        <f t="shared" si="19"/>
        <v>6.4396800000000008E-4</v>
      </c>
      <c r="G73" s="2">
        <f t="shared" si="20"/>
        <v>1.5455232000000001E-3</v>
      </c>
      <c r="H73" s="3">
        <v>1650</v>
      </c>
      <c r="I73" s="2">
        <f t="shared" si="21"/>
        <v>3.9028363636363641E-7</v>
      </c>
      <c r="J73" s="2">
        <f t="shared" si="22"/>
        <v>9.3668072727272739E-7</v>
      </c>
      <c r="L73" s="5" t="s">
        <v>16</v>
      </c>
      <c r="M73" s="4">
        <f>MAX(M2_leaching!F8:G8)</f>
        <v>2.6</v>
      </c>
      <c r="N73" s="2">
        <f t="shared" si="23"/>
        <v>1.1232E-3</v>
      </c>
      <c r="O73" s="2">
        <f t="shared" si="24"/>
        <v>3.8638080000000003E-3</v>
      </c>
      <c r="P73" s="2">
        <f t="shared" si="25"/>
        <v>1.1591424000000001E-2</v>
      </c>
      <c r="Q73" s="2">
        <f t="shared" si="26"/>
        <v>9.9377777777777763E-8</v>
      </c>
      <c r="R73" s="2">
        <f t="shared" si="27"/>
        <v>2.3850666666666661E-7</v>
      </c>
      <c r="S73" s="3">
        <v>1650</v>
      </c>
      <c r="T73" s="2">
        <f t="shared" si="28"/>
        <v>6.0228956228956226E-11</v>
      </c>
      <c r="U73" s="2">
        <f t="shared" si="29"/>
        <v>1.4454949494949492E-10</v>
      </c>
    </row>
    <row r="74" spans="1:21" x14ac:dyDescent="0.2">
      <c r="A74" s="5" t="s">
        <v>14</v>
      </c>
      <c r="B74" s="4">
        <f>MAX(M2_leaching!F9:G9)</f>
        <v>341</v>
      </c>
      <c r="C74" s="2">
        <f t="shared" si="16"/>
        <v>0.14731199999999997</v>
      </c>
      <c r="D74" s="2">
        <f t="shared" si="17"/>
        <v>0.50675327999999997</v>
      </c>
      <c r="E74" s="2">
        <f t="shared" si="18"/>
        <v>1.5202598399999998</v>
      </c>
      <c r="F74" s="2">
        <f t="shared" si="19"/>
        <v>8.445888E-2</v>
      </c>
      <c r="G74" s="2">
        <f t="shared" si="20"/>
        <v>0.20270131199999997</v>
      </c>
      <c r="H74" s="3">
        <v>34</v>
      </c>
      <c r="I74" s="2">
        <f t="shared" si="21"/>
        <v>2.4840847058823531E-3</v>
      </c>
      <c r="J74" s="2">
        <f t="shared" si="22"/>
        <v>5.9618032941176459E-3</v>
      </c>
      <c r="L74" s="5" t="s">
        <v>14</v>
      </c>
      <c r="M74" s="4">
        <f>MAX(M2_leaching!F9:G9)</f>
        <v>341</v>
      </c>
      <c r="N74" s="2">
        <f t="shared" si="23"/>
        <v>0.14731199999999997</v>
      </c>
      <c r="O74" s="2">
        <f t="shared" si="24"/>
        <v>0.50675327999999997</v>
      </c>
      <c r="P74" s="2">
        <f t="shared" si="25"/>
        <v>1.5202598399999998</v>
      </c>
      <c r="Q74" s="2">
        <f t="shared" si="26"/>
        <v>1.3033777777777774E-5</v>
      </c>
      <c r="R74" s="2">
        <f t="shared" si="27"/>
        <v>3.1281066666666654E-5</v>
      </c>
      <c r="S74" s="3">
        <v>34</v>
      </c>
      <c r="T74" s="2">
        <f t="shared" si="28"/>
        <v>3.8334640522875807E-7</v>
      </c>
      <c r="U74" s="2">
        <f t="shared" si="29"/>
        <v>9.2003137254901919E-7</v>
      </c>
    </row>
    <row r="75" spans="1:21" x14ac:dyDescent="0.2">
      <c r="A75" s="5" t="s">
        <v>13</v>
      </c>
      <c r="B75" s="4">
        <f>MAX(M2_leaching!F10:G10)</f>
        <v>0</v>
      </c>
      <c r="C75" s="2">
        <f t="shared" si="16"/>
        <v>0</v>
      </c>
      <c r="D75" s="2">
        <f t="shared" si="17"/>
        <v>0</v>
      </c>
      <c r="E75" s="2">
        <f t="shared" si="18"/>
        <v>0</v>
      </c>
      <c r="F75" s="2">
        <f t="shared" si="19"/>
        <v>0</v>
      </c>
      <c r="G75" s="2">
        <f t="shared" si="20"/>
        <v>0</v>
      </c>
      <c r="H75" s="3">
        <v>11900</v>
      </c>
      <c r="I75" s="2">
        <f t="shared" si="21"/>
        <v>0</v>
      </c>
      <c r="J75" s="2">
        <f t="shared" si="22"/>
        <v>0</v>
      </c>
      <c r="L75" s="5" t="s">
        <v>13</v>
      </c>
      <c r="M75" s="4">
        <f>MAX(M2_leaching!F10:G10)</f>
        <v>0</v>
      </c>
      <c r="N75" s="2">
        <f t="shared" si="23"/>
        <v>0</v>
      </c>
      <c r="O75" s="2">
        <f t="shared" si="24"/>
        <v>0</v>
      </c>
      <c r="P75" s="2">
        <f t="shared" si="25"/>
        <v>0</v>
      </c>
      <c r="Q75" s="2">
        <f t="shared" si="26"/>
        <v>0</v>
      </c>
      <c r="R75" s="2">
        <f t="shared" si="27"/>
        <v>0</v>
      </c>
      <c r="S75" s="3">
        <v>11900</v>
      </c>
      <c r="T75" s="2">
        <f t="shared" si="28"/>
        <v>0</v>
      </c>
      <c r="U75" s="2">
        <f t="shared" si="29"/>
        <v>0</v>
      </c>
    </row>
    <row r="76" spans="1:21" x14ac:dyDescent="0.2">
      <c r="A76" s="5" t="s">
        <v>11</v>
      </c>
      <c r="B76" s="4">
        <f>MAX(M2_leaching!F11:G11)</f>
        <v>65.599999999999994</v>
      </c>
      <c r="C76" s="2">
        <f t="shared" si="16"/>
        <v>2.8339199999999995E-2</v>
      </c>
      <c r="D76" s="2">
        <f t="shared" si="17"/>
        <v>9.7486847999999987E-2</v>
      </c>
      <c r="E76" s="2">
        <f t="shared" si="18"/>
        <v>0.29246054399999993</v>
      </c>
      <c r="F76" s="2">
        <f t="shared" si="19"/>
        <v>1.6247807999999999E-2</v>
      </c>
      <c r="G76" s="2">
        <f t="shared" si="20"/>
        <v>3.8994739199999989E-2</v>
      </c>
      <c r="H76" s="3">
        <v>37</v>
      </c>
      <c r="I76" s="2">
        <f t="shared" si="21"/>
        <v>4.3912994594594594E-4</v>
      </c>
      <c r="J76" s="2">
        <f t="shared" si="22"/>
        <v>1.05391187027027E-3</v>
      </c>
      <c r="L76" s="5" t="s">
        <v>11</v>
      </c>
      <c r="M76" s="4">
        <f>MAX(M2_leaching!F11:G11)</f>
        <v>65.599999999999994</v>
      </c>
      <c r="N76" s="2">
        <f t="shared" si="23"/>
        <v>2.8339199999999995E-2</v>
      </c>
      <c r="O76" s="2">
        <f t="shared" si="24"/>
        <v>9.7486847999999987E-2</v>
      </c>
      <c r="P76" s="2">
        <f t="shared" si="25"/>
        <v>0.29246054399999993</v>
      </c>
      <c r="Q76" s="2">
        <f t="shared" si="26"/>
        <v>2.5073777777777771E-6</v>
      </c>
      <c r="R76" s="2">
        <f t="shared" si="27"/>
        <v>6.0177066666666635E-6</v>
      </c>
      <c r="S76" s="3">
        <v>37</v>
      </c>
      <c r="T76" s="2">
        <f t="shared" si="28"/>
        <v>6.7766966966966946E-8</v>
      </c>
      <c r="U76" s="2">
        <f t="shared" si="29"/>
        <v>1.6264072072072064E-7</v>
      </c>
    </row>
    <row r="77" spans="1:21" x14ac:dyDescent="0.2">
      <c r="A77" s="5" t="s">
        <v>10</v>
      </c>
      <c r="B77" s="4">
        <f>MAX(M2_leaching!F12:G12)</f>
        <v>1</v>
      </c>
      <c r="C77" s="2">
        <f t="shared" si="16"/>
        <v>4.3199999999999993E-4</v>
      </c>
      <c r="D77" s="2">
        <f t="shared" si="17"/>
        <v>1.4860799999999999E-3</v>
      </c>
      <c r="E77" s="2">
        <f t="shared" si="18"/>
        <v>4.4582399999999996E-3</v>
      </c>
      <c r="F77" s="2">
        <f t="shared" si="19"/>
        <v>2.4767999999999996E-4</v>
      </c>
      <c r="G77" s="2">
        <f t="shared" si="20"/>
        <v>5.9443199999999999E-4</v>
      </c>
      <c r="H77" s="3">
        <v>4.0999999999999996</v>
      </c>
      <c r="I77" s="2">
        <f t="shared" si="21"/>
        <v>6.0409756097560969E-5</v>
      </c>
      <c r="J77" s="2">
        <f t="shared" si="22"/>
        <v>1.4498341463414636E-4</v>
      </c>
      <c r="L77" s="5" t="s">
        <v>10</v>
      </c>
      <c r="M77" s="4">
        <f>MAX(M2_leaching!F12:G12)</f>
        <v>1</v>
      </c>
      <c r="N77" s="2">
        <f t="shared" si="23"/>
        <v>4.3199999999999993E-4</v>
      </c>
      <c r="O77" s="2">
        <f t="shared" si="24"/>
        <v>1.4860799999999999E-3</v>
      </c>
      <c r="P77" s="2">
        <f t="shared" si="25"/>
        <v>4.4582399999999996E-3</v>
      </c>
      <c r="Q77" s="2">
        <f t="shared" si="26"/>
        <v>3.8222222222222212E-8</v>
      </c>
      <c r="R77" s="2">
        <f t="shared" si="27"/>
        <v>9.1733333333333294E-8</v>
      </c>
      <c r="S77" s="3">
        <v>4.0999999999999996</v>
      </c>
      <c r="T77" s="2">
        <f t="shared" si="28"/>
        <v>9.3224932249322468E-9</v>
      </c>
      <c r="U77" s="2">
        <f t="shared" si="29"/>
        <v>2.2373983739837391E-8</v>
      </c>
    </row>
    <row r="78" spans="1:21" x14ac:dyDescent="0.2">
      <c r="A78" s="5" t="s">
        <v>9</v>
      </c>
      <c r="B78" s="4">
        <f>MAX(M2_leaching!F13:G13)</f>
        <v>550</v>
      </c>
      <c r="C78" s="2">
        <f t="shared" si="16"/>
        <v>0.23759999999999998</v>
      </c>
      <c r="D78" s="2">
        <f t="shared" si="17"/>
        <v>0.81734399999999996</v>
      </c>
      <c r="E78" s="2">
        <f t="shared" si="18"/>
        <v>2.452032</v>
      </c>
      <c r="F78" s="2">
        <f t="shared" si="19"/>
        <v>0.13622399999999998</v>
      </c>
      <c r="G78" s="2">
        <f t="shared" si="20"/>
        <v>0.32693759999999999</v>
      </c>
      <c r="H78" s="3">
        <v>14.4</v>
      </c>
      <c r="I78" s="2">
        <f t="shared" si="21"/>
        <v>9.4599999999999979E-3</v>
      </c>
      <c r="J78" s="2">
        <f t="shared" si="22"/>
        <v>2.2703999999999998E-2</v>
      </c>
      <c r="L78" s="5" t="s">
        <v>9</v>
      </c>
      <c r="M78" s="4">
        <f>MAX(M2_leaching!F13:G13)</f>
        <v>550</v>
      </c>
      <c r="N78" s="2">
        <f t="shared" si="23"/>
        <v>0.23759999999999998</v>
      </c>
      <c r="O78" s="2">
        <f t="shared" si="24"/>
        <v>0.81734399999999996</v>
      </c>
      <c r="P78" s="2">
        <f t="shared" si="25"/>
        <v>2.452032</v>
      </c>
      <c r="Q78" s="2">
        <f t="shared" si="26"/>
        <v>2.1022222222222218E-5</v>
      </c>
      <c r="R78" s="2">
        <f t="shared" si="27"/>
        <v>5.045333333333332E-5</v>
      </c>
      <c r="S78" s="3">
        <v>14.4</v>
      </c>
      <c r="T78" s="2">
        <f t="shared" si="28"/>
        <v>1.4598765432098763E-6</v>
      </c>
      <c r="U78" s="2">
        <f t="shared" si="29"/>
        <v>3.5037037037037027E-6</v>
      </c>
    </row>
    <row r="79" spans="1:21" x14ac:dyDescent="0.2">
      <c r="A79" s="5" t="s">
        <v>6</v>
      </c>
      <c r="B79" s="4">
        <f>MAX(M2_leaching!F14:G14)</f>
        <v>9.4E-2</v>
      </c>
      <c r="C79" s="2">
        <f t="shared" si="16"/>
        <v>4.0607999999999988E-5</v>
      </c>
      <c r="D79" s="2">
        <f t="shared" si="17"/>
        <v>1.3969151999999998E-4</v>
      </c>
      <c r="E79" s="2">
        <f t="shared" si="18"/>
        <v>4.1907455999999984E-4</v>
      </c>
      <c r="F79" s="2">
        <f t="shared" si="19"/>
        <v>2.3281919999999996E-5</v>
      </c>
      <c r="G79" s="2">
        <f t="shared" si="20"/>
        <v>5.5876607999999981E-5</v>
      </c>
      <c r="H79" s="3">
        <v>0.19</v>
      </c>
      <c r="I79" s="2">
        <f t="shared" si="21"/>
        <v>1.2253642105263156E-4</v>
      </c>
      <c r="J79" s="2">
        <f t="shared" si="22"/>
        <v>2.9408741052631569E-4</v>
      </c>
      <c r="L79" s="5" t="s">
        <v>6</v>
      </c>
      <c r="M79" s="4">
        <f>MAX(M2_leaching!F14:G14)</f>
        <v>9.4E-2</v>
      </c>
      <c r="N79" s="2">
        <f t="shared" si="23"/>
        <v>4.0607999999999988E-5</v>
      </c>
      <c r="O79" s="2">
        <f t="shared" si="24"/>
        <v>1.3969151999999998E-4</v>
      </c>
      <c r="P79" s="2">
        <f t="shared" si="25"/>
        <v>4.1907455999999984E-4</v>
      </c>
      <c r="Q79" s="2">
        <f t="shared" si="26"/>
        <v>3.5928888888888878E-9</v>
      </c>
      <c r="R79" s="2">
        <f t="shared" si="27"/>
        <v>8.622933333333328E-9</v>
      </c>
      <c r="S79" s="3">
        <v>0.19</v>
      </c>
      <c r="T79" s="2">
        <f t="shared" si="28"/>
        <v>1.8909941520467831E-8</v>
      </c>
      <c r="U79" s="2">
        <f t="shared" si="29"/>
        <v>4.5383859649122775E-8</v>
      </c>
    </row>
    <row r="80" spans="1:21" x14ac:dyDescent="0.2">
      <c r="A80" s="5" t="s">
        <v>5</v>
      </c>
      <c r="B80" s="4">
        <f>MAX(M2_leaching!F15:G15)</f>
        <v>0.42499999999999999</v>
      </c>
      <c r="C80" s="2">
        <f t="shared" si="16"/>
        <v>1.8359999999999996E-4</v>
      </c>
      <c r="D80" s="2">
        <f t="shared" si="17"/>
        <v>6.3158399999999992E-4</v>
      </c>
      <c r="E80" s="2">
        <f t="shared" si="18"/>
        <v>1.8947519999999998E-3</v>
      </c>
      <c r="F80" s="2">
        <f t="shared" si="19"/>
        <v>1.0526399999999999E-4</v>
      </c>
      <c r="G80" s="2">
        <f t="shared" si="20"/>
        <v>2.5263359999999998E-4</v>
      </c>
      <c r="H80" s="3">
        <v>6.5</v>
      </c>
      <c r="I80" s="2">
        <f t="shared" si="21"/>
        <v>1.6194461538461537E-5</v>
      </c>
      <c r="J80" s="2">
        <f t="shared" si="22"/>
        <v>3.8866707692307686E-5</v>
      </c>
      <c r="L80" s="5" t="s">
        <v>5</v>
      </c>
      <c r="M80" s="4">
        <f>MAX(M2_leaching!F15:G15)</f>
        <v>0.42499999999999999</v>
      </c>
      <c r="N80" s="2">
        <f t="shared" si="23"/>
        <v>1.8359999999999996E-4</v>
      </c>
      <c r="O80" s="2">
        <f t="shared" si="24"/>
        <v>6.3158399999999992E-4</v>
      </c>
      <c r="P80" s="2">
        <f t="shared" si="25"/>
        <v>1.8947519999999998E-3</v>
      </c>
      <c r="Q80" s="2">
        <f t="shared" si="26"/>
        <v>1.624444444444444E-8</v>
      </c>
      <c r="R80" s="2">
        <f t="shared" si="27"/>
        <v>3.8986666666666648E-8</v>
      </c>
      <c r="S80" s="3">
        <v>6.5</v>
      </c>
      <c r="T80" s="2">
        <f t="shared" si="28"/>
        <v>2.4991452991452984E-9</v>
      </c>
      <c r="U80" s="2">
        <f t="shared" si="29"/>
        <v>5.9979487179487154E-9</v>
      </c>
    </row>
    <row r="81" spans="1:21" x14ac:dyDescent="0.2">
      <c r="A81" s="5" t="s">
        <v>4</v>
      </c>
      <c r="B81" s="4">
        <f>MAX(M2_leaching!F16:G16)</f>
        <v>63.6</v>
      </c>
      <c r="C81" s="2">
        <f t="shared" si="16"/>
        <v>2.7475199999999998E-2</v>
      </c>
      <c r="D81" s="2">
        <f t="shared" si="17"/>
        <v>9.4514687999999999E-2</v>
      </c>
      <c r="E81" s="2">
        <f t="shared" si="18"/>
        <v>0.28354406399999998</v>
      </c>
      <c r="F81" s="2">
        <f t="shared" si="19"/>
        <v>1.5752447999999999E-2</v>
      </c>
      <c r="G81" s="2">
        <f t="shared" si="20"/>
        <v>3.7805875199999998E-2</v>
      </c>
      <c r="H81" s="3">
        <v>20</v>
      </c>
      <c r="I81" s="2">
        <f t="shared" si="21"/>
        <v>7.8762239999999989E-4</v>
      </c>
      <c r="J81" s="2">
        <f t="shared" si="22"/>
        <v>1.8902937599999999E-3</v>
      </c>
      <c r="L81" s="5" t="s">
        <v>4</v>
      </c>
      <c r="M81" s="4">
        <f>MAX(M2_leaching!F16:G16)</f>
        <v>63.6</v>
      </c>
      <c r="N81" s="2">
        <f t="shared" si="23"/>
        <v>2.7475199999999998E-2</v>
      </c>
      <c r="O81" s="2">
        <f t="shared" si="24"/>
        <v>9.4514687999999999E-2</v>
      </c>
      <c r="P81" s="2">
        <f t="shared" si="25"/>
        <v>0.28354406399999998</v>
      </c>
      <c r="Q81" s="2">
        <f t="shared" si="26"/>
        <v>2.4309333333333329E-6</v>
      </c>
      <c r="R81" s="2">
        <f t="shared" si="27"/>
        <v>5.8342399999999977E-6</v>
      </c>
      <c r="S81" s="3">
        <v>20</v>
      </c>
      <c r="T81" s="2">
        <f t="shared" si="28"/>
        <v>1.2154666666666665E-7</v>
      </c>
      <c r="U81" s="2">
        <f t="shared" si="29"/>
        <v>2.9171199999999991E-7</v>
      </c>
    </row>
    <row r="82" spans="1:21" x14ac:dyDescent="0.2">
      <c r="A82" s="5" t="s">
        <v>3</v>
      </c>
      <c r="B82" s="4">
        <f>MAX(M2_leaching!F17:G17)</f>
        <v>0</v>
      </c>
      <c r="C82" s="2">
        <f t="shared" si="16"/>
        <v>0</v>
      </c>
      <c r="D82" s="2">
        <f t="shared" si="17"/>
        <v>0</v>
      </c>
      <c r="E82" s="2">
        <f t="shared" si="18"/>
        <v>0</v>
      </c>
      <c r="F82" s="2">
        <f t="shared" si="19"/>
        <v>0</v>
      </c>
      <c r="G82" s="2">
        <f t="shared" si="20"/>
        <v>0</v>
      </c>
      <c r="H82" s="3">
        <v>2.4</v>
      </c>
      <c r="I82" s="2">
        <f t="shared" si="21"/>
        <v>0</v>
      </c>
      <c r="J82" s="2">
        <f t="shared" si="22"/>
        <v>0</v>
      </c>
      <c r="L82" s="5" t="s">
        <v>3</v>
      </c>
      <c r="M82" s="4">
        <f>MAX(M2_leaching!F17:G17)</f>
        <v>0</v>
      </c>
      <c r="N82" s="2">
        <f t="shared" si="23"/>
        <v>0</v>
      </c>
      <c r="O82" s="2">
        <f t="shared" si="24"/>
        <v>0</v>
      </c>
      <c r="P82" s="2">
        <f t="shared" si="25"/>
        <v>0</v>
      </c>
      <c r="Q82" s="2">
        <f t="shared" si="26"/>
        <v>0</v>
      </c>
      <c r="R82" s="2">
        <f t="shared" si="27"/>
        <v>0</v>
      </c>
      <c r="S82" s="3">
        <v>2.4</v>
      </c>
      <c r="T82" s="2">
        <f t="shared" si="28"/>
        <v>0</v>
      </c>
      <c r="U82" s="2">
        <f t="shared" si="29"/>
        <v>0</v>
      </c>
    </row>
    <row r="83" spans="1:21" x14ac:dyDescent="0.2">
      <c r="A83" s="5" t="s">
        <v>2</v>
      </c>
      <c r="B83" s="4">
        <f>MAX(M2_leaching!F18:G18)</f>
        <v>2.2599999999999998</v>
      </c>
      <c r="C83" s="2">
        <f t="shared" si="16"/>
        <v>9.7631999999999971E-4</v>
      </c>
      <c r="D83" s="2">
        <f t="shared" si="17"/>
        <v>3.3585407999999991E-3</v>
      </c>
      <c r="E83" s="2">
        <f t="shared" si="18"/>
        <v>1.0075622399999998E-2</v>
      </c>
      <c r="F83" s="2">
        <f t="shared" si="19"/>
        <v>5.5975679999999985E-4</v>
      </c>
      <c r="G83" s="2">
        <f t="shared" si="20"/>
        <v>1.3434163199999996E-3</v>
      </c>
      <c r="H83" s="3">
        <v>5.6</v>
      </c>
      <c r="I83" s="2">
        <f t="shared" si="21"/>
        <v>9.9956571428571402E-5</v>
      </c>
      <c r="J83" s="2">
        <f t="shared" si="22"/>
        <v>2.3989577142857139E-4</v>
      </c>
      <c r="L83" s="5" t="s">
        <v>2</v>
      </c>
      <c r="M83" s="4">
        <f>MAX(M2_leaching!F18:G18)</f>
        <v>2.2599999999999998</v>
      </c>
      <c r="N83" s="2">
        <f t="shared" si="23"/>
        <v>9.7631999999999971E-4</v>
      </c>
      <c r="O83" s="2">
        <f t="shared" si="24"/>
        <v>3.3585407999999991E-3</v>
      </c>
      <c r="P83" s="2">
        <f t="shared" si="25"/>
        <v>1.0075622399999998E-2</v>
      </c>
      <c r="Q83" s="2">
        <f t="shared" si="26"/>
        <v>8.6382222222222188E-8</v>
      </c>
      <c r="R83" s="2">
        <f t="shared" si="27"/>
        <v>2.0731733333333321E-7</v>
      </c>
      <c r="S83" s="3">
        <v>5.6</v>
      </c>
      <c r="T83" s="2">
        <f t="shared" si="28"/>
        <v>1.5425396825396819E-8</v>
      </c>
      <c r="U83" s="2">
        <f t="shared" si="29"/>
        <v>3.7020952380952362E-8</v>
      </c>
    </row>
    <row r="84" spans="1:21" x14ac:dyDescent="0.2">
      <c r="A84" s="5" t="s">
        <v>1</v>
      </c>
      <c r="B84" s="4">
        <f>MAX(M2_leaching!F19:G19)</f>
        <v>2680</v>
      </c>
      <c r="C84" s="2">
        <f t="shared" si="16"/>
        <v>1.1577599999999997</v>
      </c>
      <c r="D84" s="2">
        <f t="shared" si="17"/>
        <v>3.9826943999999993</v>
      </c>
      <c r="E84" s="2">
        <f t="shared" si="18"/>
        <v>11.948083199999997</v>
      </c>
      <c r="F84" s="2">
        <f t="shared" si="19"/>
        <v>0.66378239999999988</v>
      </c>
      <c r="G84" s="2">
        <f t="shared" si="20"/>
        <v>1.5930777599999997</v>
      </c>
      <c r="H84" s="3">
        <v>28</v>
      </c>
      <c r="I84" s="2">
        <f t="shared" si="21"/>
        <v>2.370651428571428E-2</v>
      </c>
      <c r="J84" s="2">
        <f t="shared" si="22"/>
        <v>5.6895634285714272E-2</v>
      </c>
      <c r="L84" s="5" t="s">
        <v>1</v>
      </c>
      <c r="M84" s="4">
        <f>MAX(M2_leaching!F19:G19)</f>
        <v>2680</v>
      </c>
      <c r="N84" s="2">
        <f t="shared" si="23"/>
        <v>1.1577599999999997</v>
      </c>
      <c r="O84" s="2">
        <f t="shared" si="24"/>
        <v>3.9826943999999993</v>
      </c>
      <c r="P84" s="2">
        <f t="shared" si="25"/>
        <v>11.948083199999997</v>
      </c>
      <c r="Q84" s="2">
        <f t="shared" si="26"/>
        <v>1.0243555555555552E-4</v>
      </c>
      <c r="R84" s="2">
        <f t="shared" si="27"/>
        <v>2.4584533333333323E-4</v>
      </c>
      <c r="S84" s="3">
        <v>28</v>
      </c>
      <c r="T84" s="2">
        <f t="shared" si="28"/>
        <v>3.658412698412697E-6</v>
      </c>
      <c r="U84" s="2">
        <f t="shared" si="29"/>
        <v>8.7801904761904731E-6</v>
      </c>
    </row>
    <row r="85" spans="1:21" x14ac:dyDescent="0.2">
      <c r="A85" s="5" t="s">
        <v>0</v>
      </c>
      <c r="B85" s="4">
        <f>MAX(M2_leaching!F20:G20)</f>
        <v>0</v>
      </c>
      <c r="C85" s="2">
        <f t="shared" si="16"/>
        <v>0</v>
      </c>
      <c r="D85" s="2">
        <f t="shared" si="17"/>
        <v>0</v>
      </c>
      <c r="E85" s="2">
        <f t="shared" si="18"/>
        <v>0</v>
      </c>
      <c r="F85" s="2">
        <f t="shared" si="19"/>
        <v>0</v>
      </c>
      <c r="G85" s="2">
        <f t="shared" si="20"/>
        <v>0</v>
      </c>
      <c r="H85" s="3">
        <v>170</v>
      </c>
      <c r="I85" s="2">
        <f t="shared" si="21"/>
        <v>0</v>
      </c>
      <c r="J85" s="2">
        <f t="shared" si="22"/>
        <v>0</v>
      </c>
      <c r="L85" s="5" t="s">
        <v>0</v>
      </c>
      <c r="M85" s="4">
        <f>MAX(M2_leaching!F20:G20)</f>
        <v>0</v>
      </c>
      <c r="N85" s="2">
        <f t="shared" ref="N85" si="30">2*M85*$B$39*24/1000</f>
        <v>0</v>
      </c>
      <c r="O85" s="2">
        <f t="shared" si="24"/>
        <v>0</v>
      </c>
      <c r="P85" s="2">
        <f t="shared" si="25"/>
        <v>0</v>
      </c>
      <c r="Q85" s="2">
        <f t="shared" si="26"/>
        <v>0</v>
      </c>
      <c r="R85" s="2">
        <f t="shared" si="27"/>
        <v>0</v>
      </c>
      <c r="S85" s="3">
        <v>170</v>
      </c>
      <c r="T85" s="2">
        <f t="shared" si="28"/>
        <v>0</v>
      </c>
      <c r="U85" s="2">
        <f t="shared" si="29"/>
        <v>0</v>
      </c>
    </row>
  </sheetData>
  <mergeCells count="14">
    <mergeCell ref="A32:F32"/>
    <mergeCell ref="A1:F1"/>
    <mergeCell ref="A10:F10"/>
    <mergeCell ref="A11:C11"/>
    <mergeCell ref="D11:F11"/>
    <mergeCell ref="A21:F21"/>
    <mergeCell ref="A65:J65"/>
    <mergeCell ref="L65:U65"/>
    <mergeCell ref="A42:J42"/>
    <mergeCell ref="L42:U42"/>
    <mergeCell ref="A43:J43"/>
    <mergeCell ref="L43:U43"/>
    <mergeCell ref="A64:J64"/>
    <mergeCell ref="L64:U64"/>
  </mergeCells>
  <conditionalFormatting sqref="I46:J63">
    <cfRule type="cellIs" dxfId="69" priority="14" operator="greaterThan">
      <formula>1</formula>
    </cfRule>
    <cfRule type="cellIs" dxfId="68" priority="13" operator="lessThan">
      <formula>1</formula>
    </cfRule>
  </conditionalFormatting>
  <conditionalFormatting sqref="I68:J85">
    <cfRule type="cellIs" dxfId="67" priority="9" operator="lessThan">
      <formula>1</formula>
    </cfRule>
    <cfRule type="cellIs" dxfId="66" priority="10" operator="greaterThan">
      <formula>1</formula>
    </cfRule>
  </conditionalFormatting>
  <conditionalFormatting sqref="T46:U63">
    <cfRule type="cellIs" dxfId="65" priority="6" operator="greaterThan">
      <formula>1</formula>
    </cfRule>
    <cfRule type="cellIs" dxfId="64" priority="5" operator="lessThan">
      <formula>1</formula>
    </cfRule>
  </conditionalFormatting>
  <conditionalFormatting sqref="T68:U85">
    <cfRule type="cellIs" dxfId="63" priority="2" operator="greaterThan">
      <formula>1</formula>
    </cfRule>
    <cfRule type="cellIs" dxfId="62" priority="1" operator="lessThan">
      <formula>1</formula>
    </cfRule>
  </conditionalFormatting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A2BA1-CB37-43EB-8C10-14E84E48F905}">
  <dimension ref="A1:AN180"/>
  <sheetViews>
    <sheetView workbookViewId="0">
      <selection activeCell="F3" sqref="F3:G20"/>
    </sheetView>
  </sheetViews>
  <sheetFormatPr baseColWidth="10" defaultColWidth="10" defaultRowHeight="14" x14ac:dyDescent="0.2"/>
  <cols>
    <col min="1" max="1" width="13.83203125" style="20" bestFit="1" customWidth="1"/>
    <col min="2" max="2" width="10" style="46"/>
    <col min="3" max="4" width="10.1640625" style="20" customWidth="1"/>
    <col min="5" max="5" width="12.5" style="20" customWidth="1"/>
    <col min="6" max="11" width="11.1640625" style="20" customWidth="1"/>
    <col min="12" max="13" width="10.1640625" style="20" customWidth="1"/>
    <col min="14" max="14" width="11.6640625" style="46" customWidth="1"/>
    <col min="15" max="15" width="12.5" style="38" bestFit="1" customWidth="1"/>
    <col min="16" max="18" width="10.33203125" style="38" bestFit="1" customWidth="1"/>
    <col min="19" max="19" width="10.1640625" style="20" bestFit="1" customWidth="1"/>
    <col min="20" max="16384" width="10" style="20"/>
  </cols>
  <sheetData>
    <row r="1" spans="1:19" ht="35" customHeight="1" x14ac:dyDescent="0.2">
      <c r="B1" s="21" t="s">
        <v>99</v>
      </c>
      <c r="C1" s="100" t="s">
        <v>100</v>
      </c>
      <c r="D1" s="101"/>
      <c r="E1" s="22" t="s">
        <v>101</v>
      </c>
      <c r="F1" s="62" t="s">
        <v>154</v>
      </c>
      <c r="G1" s="62" t="s">
        <v>155</v>
      </c>
      <c r="H1" s="62" t="s">
        <v>156</v>
      </c>
      <c r="I1" s="62" t="s">
        <v>157</v>
      </c>
      <c r="J1" s="62" t="s">
        <v>158</v>
      </c>
      <c r="K1" s="62" t="s">
        <v>159</v>
      </c>
      <c r="L1" s="25" t="s">
        <v>160</v>
      </c>
      <c r="M1" s="25" t="s">
        <v>161</v>
      </c>
      <c r="N1" s="26" t="s">
        <v>104</v>
      </c>
      <c r="O1" s="27" t="s">
        <v>105</v>
      </c>
      <c r="P1" s="28" t="s">
        <v>106</v>
      </c>
      <c r="Q1" s="28" t="s">
        <v>107</v>
      </c>
      <c r="R1" s="28" t="s">
        <v>108</v>
      </c>
      <c r="S1" s="102" t="s">
        <v>109</v>
      </c>
    </row>
    <row r="2" spans="1:19" ht="16" x14ac:dyDescent="0.2">
      <c r="B2" s="29" t="s">
        <v>110</v>
      </c>
      <c r="C2" s="30" t="s">
        <v>111</v>
      </c>
      <c r="D2" s="30" t="s">
        <v>112</v>
      </c>
      <c r="E2" s="31" t="s">
        <v>113</v>
      </c>
      <c r="F2" s="31" t="s">
        <v>113</v>
      </c>
      <c r="G2" s="31" t="s">
        <v>113</v>
      </c>
      <c r="H2" s="31" t="s">
        <v>113</v>
      </c>
      <c r="I2" s="31" t="s">
        <v>113</v>
      </c>
      <c r="J2" s="31" t="s">
        <v>113</v>
      </c>
      <c r="K2" s="31" t="s">
        <v>113</v>
      </c>
      <c r="L2" s="31" t="s">
        <v>113</v>
      </c>
      <c r="M2" s="31" t="s">
        <v>113</v>
      </c>
      <c r="N2" s="32" t="s">
        <v>113</v>
      </c>
      <c r="O2" s="33" t="s">
        <v>27</v>
      </c>
      <c r="P2" s="34" t="s">
        <v>27</v>
      </c>
      <c r="Q2" s="34" t="s">
        <v>27</v>
      </c>
      <c r="R2" s="34" t="s">
        <v>27</v>
      </c>
      <c r="S2" s="103"/>
    </row>
    <row r="3" spans="1:19" ht="15" x14ac:dyDescent="0.2">
      <c r="A3" s="20">
        <v>1</v>
      </c>
      <c r="B3" s="35" t="s">
        <v>114</v>
      </c>
      <c r="C3" s="36">
        <v>0</v>
      </c>
      <c r="D3" s="36">
        <f>C3*1000</f>
        <v>0</v>
      </c>
      <c r="E3" s="36"/>
      <c r="F3" s="35">
        <v>0</v>
      </c>
      <c r="G3" s="35">
        <v>0</v>
      </c>
      <c r="H3" s="35">
        <v>0</v>
      </c>
      <c r="I3" s="35">
        <v>0</v>
      </c>
      <c r="J3" s="35">
        <v>0</v>
      </c>
      <c r="K3" s="35">
        <v>0</v>
      </c>
      <c r="L3" s="37">
        <v>0</v>
      </c>
      <c r="M3" s="35">
        <v>0</v>
      </c>
      <c r="N3" s="7">
        <v>5.7000000000000002E-2</v>
      </c>
      <c r="O3" s="38">
        <v>0</v>
      </c>
      <c r="P3" s="38">
        <v>0</v>
      </c>
      <c r="Q3" s="38">
        <v>0</v>
      </c>
      <c r="R3" s="38">
        <f>L3/N3</f>
        <v>0</v>
      </c>
      <c r="S3" s="20">
        <v>1</v>
      </c>
    </row>
    <row r="4" spans="1:19" ht="15" x14ac:dyDescent="0.2">
      <c r="A4" s="20">
        <v>2</v>
      </c>
      <c r="B4" s="39" t="s">
        <v>115</v>
      </c>
      <c r="C4" s="36">
        <f>3.88*0.3</f>
        <v>1.1639999999999999</v>
      </c>
      <c r="D4" s="36">
        <f t="shared" ref="D4:D19" si="0">C4*1000</f>
        <v>1164</v>
      </c>
      <c r="E4" s="36"/>
      <c r="F4" s="40">
        <v>3.71</v>
      </c>
      <c r="G4" s="40">
        <v>3.98</v>
      </c>
      <c r="H4" s="41">
        <v>3.1</v>
      </c>
      <c r="I4" s="40">
        <v>4</v>
      </c>
      <c r="J4" s="40">
        <v>1.4</v>
      </c>
      <c r="K4" s="40">
        <v>1.4</v>
      </c>
      <c r="L4" s="40">
        <v>4.5</v>
      </c>
      <c r="M4" s="40">
        <v>0.96</v>
      </c>
      <c r="N4" s="7">
        <v>114.7</v>
      </c>
      <c r="O4" s="38">
        <f>MAX(F4:G4)/$N4</f>
        <v>3.4699215344376637E-2</v>
      </c>
      <c r="P4" s="38">
        <f>MAX(H4:I4)/$N4</f>
        <v>3.4873583260680033E-2</v>
      </c>
      <c r="Q4" s="38">
        <f>MAX(J4:K4)/$N4</f>
        <v>1.2205754141238012E-2</v>
      </c>
      <c r="R4" s="38">
        <f>MAX(L4:M4)/$N4</f>
        <v>3.9232781168265035E-2</v>
      </c>
      <c r="S4" s="20">
        <v>1</v>
      </c>
    </row>
    <row r="5" spans="1:19" ht="15" x14ac:dyDescent="0.2">
      <c r="A5" s="20">
        <v>3</v>
      </c>
      <c r="B5" s="42" t="s">
        <v>116</v>
      </c>
      <c r="C5" s="43">
        <f>2.49*0.3</f>
        <v>0.747</v>
      </c>
      <c r="D5" s="36">
        <f t="shared" si="0"/>
        <v>747</v>
      </c>
      <c r="E5" s="36"/>
      <c r="F5" s="44">
        <v>29</v>
      </c>
      <c r="G5" s="44">
        <v>24</v>
      </c>
      <c r="H5" s="44">
        <v>35</v>
      </c>
      <c r="I5" s="44">
        <v>29</v>
      </c>
      <c r="J5" s="44">
        <v>0</v>
      </c>
      <c r="K5" s="44">
        <v>0</v>
      </c>
      <c r="L5" s="44">
        <v>0</v>
      </c>
      <c r="M5" s="44">
        <v>0</v>
      </c>
      <c r="N5" s="6">
        <v>2900</v>
      </c>
      <c r="O5" s="38">
        <f>MAX(F5:G5)/N5</f>
        <v>0.01</v>
      </c>
      <c r="P5" s="38">
        <f t="shared" ref="P5:P19" si="1">MAX(H5:I5)/$N5</f>
        <v>1.2068965517241379E-2</v>
      </c>
      <c r="Q5" s="38">
        <f t="shared" ref="Q5:Q19" si="2">MAX(J5:K5)/$N5</f>
        <v>0</v>
      </c>
      <c r="R5" s="38">
        <f t="shared" ref="R5:R19" si="3">MAX(L5:M5)/$N5</f>
        <v>0</v>
      </c>
      <c r="S5" s="20">
        <v>1</v>
      </c>
    </row>
    <row r="6" spans="1:19" s="39" customFormat="1" ht="15" x14ac:dyDescent="0.2">
      <c r="A6" s="20">
        <v>4</v>
      </c>
      <c r="B6" s="39" t="s">
        <v>117</v>
      </c>
      <c r="C6" s="39">
        <f>0.0816*0.3</f>
        <v>2.4480000000000002E-2</v>
      </c>
      <c r="D6" s="39">
        <f>C6*1000</f>
        <v>24.48</v>
      </c>
      <c r="E6" s="39">
        <v>200</v>
      </c>
      <c r="F6" s="39">
        <v>2.42</v>
      </c>
      <c r="G6" s="39">
        <v>2.11</v>
      </c>
      <c r="H6" s="39">
        <v>3.01</v>
      </c>
      <c r="I6" s="39">
        <v>3.17</v>
      </c>
      <c r="J6" s="39">
        <v>1.06</v>
      </c>
      <c r="K6" s="39">
        <v>0.8</v>
      </c>
      <c r="L6" s="39">
        <v>0</v>
      </c>
      <c r="M6" s="39">
        <v>0</v>
      </c>
      <c r="N6" s="3">
        <v>1.06</v>
      </c>
      <c r="O6" s="39">
        <f>MAX(F6:G6)/N6</f>
        <v>2.283018867924528</v>
      </c>
      <c r="P6" s="39">
        <f t="shared" si="1"/>
        <v>2.9905660377358489</v>
      </c>
      <c r="Q6" s="39">
        <f t="shared" si="2"/>
        <v>1</v>
      </c>
      <c r="R6" s="39">
        <f t="shared" si="3"/>
        <v>0</v>
      </c>
      <c r="S6" s="39">
        <v>1</v>
      </c>
    </row>
    <row r="7" spans="1:19" s="39" customFormat="1" ht="15" x14ac:dyDescent="0.2">
      <c r="A7" s="20">
        <v>5</v>
      </c>
      <c r="B7" s="39" t="s">
        <v>118</v>
      </c>
      <c r="C7" s="39">
        <v>0</v>
      </c>
      <c r="D7" s="39">
        <f t="shared" si="0"/>
        <v>0</v>
      </c>
      <c r="E7" s="39">
        <v>1000</v>
      </c>
      <c r="F7" s="39">
        <v>39</v>
      </c>
      <c r="G7" s="39">
        <v>33.299999999999997</v>
      </c>
      <c r="H7" s="39">
        <v>17.2</v>
      </c>
      <c r="I7" s="39">
        <v>6</v>
      </c>
      <c r="J7" s="39">
        <v>13.6</v>
      </c>
      <c r="K7" s="39">
        <v>27.1</v>
      </c>
      <c r="L7" s="39">
        <v>19.100000000000001</v>
      </c>
      <c r="M7" s="39">
        <v>21.6</v>
      </c>
      <c r="N7" s="3">
        <v>6.3</v>
      </c>
      <c r="O7" s="39">
        <f>MAX(F7:G7)/N7</f>
        <v>6.1904761904761907</v>
      </c>
      <c r="P7" s="39">
        <f t="shared" si="1"/>
        <v>2.7301587301587302</v>
      </c>
      <c r="Q7" s="39">
        <f t="shared" si="2"/>
        <v>4.3015873015873023</v>
      </c>
      <c r="R7" s="39">
        <f>MAX(L7:M7)/$N7</f>
        <v>3.4285714285714288</v>
      </c>
      <c r="S7" s="39">
        <v>1</v>
      </c>
    </row>
    <row r="8" spans="1:19" s="39" customFormat="1" ht="15" x14ac:dyDescent="0.2">
      <c r="A8" s="20">
        <v>6</v>
      </c>
      <c r="B8" s="39" t="s">
        <v>16</v>
      </c>
      <c r="C8" s="39">
        <f>0.384*0.3</f>
        <v>0.1152</v>
      </c>
      <c r="D8" s="39">
        <f>C8*1000</f>
        <v>115.2</v>
      </c>
      <c r="F8" s="39">
        <v>2</v>
      </c>
      <c r="G8" s="39">
        <v>0</v>
      </c>
      <c r="H8" s="39">
        <v>3.1</v>
      </c>
      <c r="I8" s="39">
        <v>2.6</v>
      </c>
      <c r="J8" s="39">
        <v>0</v>
      </c>
      <c r="K8" s="39">
        <v>0</v>
      </c>
      <c r="L8" s="39">
        <v>0</v>
      </c>
      <c r="M8" s="39">
        <v>0</v>
      </c>
      <c r="N8" s="3">
        <v>1650</v>
      </c>
      <c r="O8" s="39">
        <f>MAX(F8:G8)/N8</f>
        <v>1.2121212121212121E-3</v>
      </c>
      <c r="P8" s="39">
        <f t="shared" si="1"/>
        <v>1.8787878787878789E-3</v>
      </c>
      <c r="Q8" s="39">
        <f t="shared" si="2"/>
        <v>0</v>
      </c>
      <c r="R8" s="39">
        <f>MAX(L8:M8)/$N8</f>
        <v>0</v>
      </c>
      <c r="S8" s="39">
        <v>1</v>
      </c>
    </row>
    <row r="9" spans="1:19" s="39" customFormat="1" ht="15" x14ac:dyDescent="0.2">
      <c r="A9" s="20">
        <v>7</v>
      </c>
      <c r="B9" s="39" t="s">
        <v>119</v>
      </c>
      <c r="C9" s="39">
        <f>17.2*0.3</f>
        <v>5.1599999999999993</v>
      </c>
      <c r="D9" s="39">
        <f t="shared" si="0"/>
        <v>5159.9999999999991</v>
      </c>
      <c r="E9" s="39">
        <v>500</v>
      </c>
      <c r="F9" s="39">
        <v>88.8</v>
      </c>
      <c r="G9" s="39">
        <v>85</v>
      </c>
      <c r="H9" s="39">
        <v>106</v>
      </c>
      <c r="I9" s="39">
        <v>132</v>
      </c>
      <c r="J9" s="39">
        <v>51.1</v>
      </c>
      <c r="K9" s="39">
        <v>42.7</v>
      </c>
      <c r="L9" s="39">
        <v>23.8</v>
      </c>
      <c r="M9" s="39">
        <v>23.9</v>
      </c>
      <c r="N9" s="3">
        <v>34</v>
      </c>
      <c r="O9" s="39">
        <f>MAX(F9:G9)/N9</f>
        <v>2.611764705882353</v>
      </c>
      <c r="P9" s="39">
        <f t="shared" si="1"/>
        <v>3.8823529411764706</v>
      </c>
      <c r="Q9" s="39">
        <f t="shared" si="2"/>
        <v>1.5029411764705882</v>
      </c>
      <c r="R9" s="39">
        <f t="shared" si="3"/>
        <v>0.70294117647058818</v>
      </c>
      <c r="S9" s="39">
        <v>1</v>
      </c>
    </row>
    <row r="10" spans="1:19" s="39" customFormat="1" ht="15" x14ac:dyDescent="0.2">
      <c r="A10" s="20">
        <v>8</v>
      </c>
      <c r="B10" s="39" t="s">
        <v>120</v>
      </c>
      <c r="C10" s="39">
        <v>0</v>
      </c>
      <c r="D10" s="39">
        <f t="shared" si="0"/>
        <v>0</v>
      </c>
      <c r="F10" s="39">
        <v>2.4</v>
      </c>
      <c r="G10" s="39">
        <v>2.1</v>
      </c>
      <c r="H10" s="39">
        <v>5</v>
      </c>
      <c r="I10" s="39">
        <v>5</v>
      </c>
      <c r="J10" s="39">
        <v>2.1</v>
      </c>
      <c r="K10" s="39">
        <v>0</v>
      </c>
      <c r="L10" s="39">
        <v>0</v>
      </c>
      <c r="M10" s="39">
        <v>0</v>
      </c>
      <c r="N10" s="3">
        <v>11900</v>
      </c>
      <c r="O10" s="39">
        <f t="shared" ref="O10:O19" si="4">MAX(F10:G10)/N10</f>
        <v>2.0168067226890757E-4</v>
      </c>
      <c r="P10" s="39">
        <f t="shared" si="1"/>
        <v>4.2016806722689078E-4</v>
      </c>
      <c r="Q10" s="39">
        <f t="shared" si="2"/>
        <v>1.7647058823529413E-4</v>
      </c>
      <c r="R10" s="39">
        <f t="shared" si="3"/>
        <v>0</v>
      </c>
      <c r="S10" s="39">
        <v>1</v>
      </c>
    </row>
    <row r="11" spans="1:19" s="39" customFormat="1" ht="15" x14ac:dyDescent="0.2">
      <c r="A11" s="20">
        <v>9</v>
      </c>
      <c r="B11" s="39" t="s">
        <v>11</v>
      </c>
      <c r="C11" s="39">
        <v>0</v>
      </c>
      <c r="D11" s="39">
        <f>C11*1000</f>
        <v>0</v>
      </c>
      <c r="F11" s="39">
        <v>159</v>
      </c>
      <c r="G11" s="39">
        <v>139</v>
      </c>
      <c r="H11" s="39">
        <v>298</v>
      </c>
      <c r="I11" s="39">
        <v>366</v>
      </c>
      <c r="J11" s="39">
        <v>106</v>
      </c>
      <c r="K11" s="39">
        <v>89.2</v>
      </c>
      <c r="L11" s="39">
        <v>61.4</v>
      </c>
      <c r="M11" s="39">
        <v>58</v>
      </c>
      <c r="N11" s="3">
        <v>37</v>
      </c>
      <c r="O11" s="39">
        <f t="shared" si="4"/>
        <v>4.2972972972972974</v>
      </c>
      <c r="P11" s="39">
        <f t="shared" si="1"/>
        <v>9.8918918918918912</v>
      </c>
      <c r="Q11" s="39">
        <f t="shared" si="2"/>
        <v>2.8648648648648649</v>
      </c>
      <c r="R11" s="39">
        <f t="shared" si="3"/>
        <v>1.6594594594594594</v>
      </c>
      <c r="S11" s="39">
        <v>1</v>
      </c>
    </row>
    <row r="12" spans="1:19" s="39" customFormat="1" ht="15" x14ac:dyDescent="0.2">
      <c r="A12" s="20">
        <v>10</v>
      </c>
      <c r="B12" s="39" t="s">
        <v>121</v>
      </c>
      <c r="C12" s="39">
        <f>0.273*0.3</f>
        <v>8.1900000000000001E-2</v>
      </c>
      <c r="D12" s="39">
        <f t="shared" si="0"/>
        <v>81.900000000000006</v>
      </c>
      <c r="F12" s="39">
        <v>2.9</v>
      </c>
      <c r="G12" s="39">
        <v>2.2000000000000002</v>
      </c>
      <c r="H12" s="39">
        <v>5</v>
      </c>
      <c r="I12" s="39">
        <v>5.3</v>
      </c>
      <c r="J12" s="39">
        <v>2.4</v>
      </c>
      <c r="K12" s="39">
        <v>2.2000000000000002</v>
      </c>
      <c r="L12" s="39">
        <v>1.5</v>
      </c>
      <c r="M12" s="39">
        <v>1.5</v>
      </c>
      <c r="N12" s="3">
        <v>4.0999999999999996</v>
      </c>
      <c r="O12" s="39">
        <f t="shared" si="4"/>
        <v>0.70731707317073178</v>
      </c>
      <c r="P12" s="39">
        <f t="shared" si="1"/>
        <v>1.2926829268292683</v>
      </c>
      <c r="Q12" s="39">
        <f t="shared" si="2"/>
        <v>0.58536585365853666</v>
      </c>
      <c r="R12" s="39">
        <f t="shared" si="3"/>
        <v>0.36585365853658541</v>
      </c>
      <c r="S12" s="39">
        <v>1</v>
      </c>
    </row>
    <row r="13" spans="1:19" s="39" customFormat="1" ht="15" x14ac:dyDescent="0.2">
      <c r="A13" s="20">
        <v>11</v>
      </c>
      <c r="B13" s="39" t="s">
        <v>122</v>
      </c>
      <c r="C13" s="39">
        <f>19.3*0.3</f>
        <v>5.79</v>
      </c>
      <c r="D13" s="39">
        <f t="shared" si="0"/>
        <v>5790</v>
      </c>
      <c r="E13" s="39">
        <v>3000</v>
      </c>
      <c r="F13" s="39">
        <v>365</v>
      </c>
      <c r="G13" s="39">
        <v>265</v>
      </c>
      <c r="H13" s="39">
        <v>613</v>
      </c>
      <c r="I13" s="39">
        <v>484</v>
      </c>
      <c r="J13" s="39">
        <v>341</v>
      </c>
      <c r="K13" s="39">
        <v>286</v>
      </c>
      <c r="L13" s="39">
        <v>242</v>
      </c>
      <c r="M13" s="39">
        <v>220</v>
      </c>
      <c r="N13" s="3">
        <v>14.4</v>
      </c>
      <c r="O13" s="39">
        <f t="shared" si="4"/>
        <v>25.347222222222221</v>
      </c>
      <c r="P13" s="39">
        <f t="shared" si="1"/>
        <v>42.569444444444443</v>
      </c>
      <c r="Q13" s="39">
        <f t="shared" si="2"/>
        <v>23.680555555555554</v>
      </c>
      <c r="R13" s="39">
        <f t="shared" si="3"/>
        <v>16.805555555555554</v>
      </c>
      <c r="S13" s="39">
        <v>1</v>
      </c>
    </row>
    <row r="14" spans="1:19" s="39" customFormat="1" ht="15" x14ac:dyDescent="0.2">
      <c r="A14" s="20">
        <v>12</v>
      </c>
      <c r="B14" s="39" t="s">
        <v>123</v>
      </c>
      <c r="C14" s="39">
        <v>0</v>
      </c>
      <c r="D14" s="39">
        <f t="shared" si="0"/>
        <v>0</v>
      </c>
      <c r="F14" s="39">
        <v>0</v>
      </c>
      <c r="G14" s="39">
        <v>5.6000000000000001E-2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">
        <v>0.19</v>
      </c>
      <c r="O14" s="39">
        <f t="shared" si="4"/>
        <v>0.29473684210526319</v>
      </c>
      <c r="P14" s="39">
        <f t="shared" si="1"/>
        <v>0</v>
      </c>
      <c r="Q14" s="39">
        <f t="shared" si="2"/>
        <v>0</v>
      </c>
      <c r="R14" s="39">
        <f t="shared" si="3"/>
        <v>0</v>
      </c>
      <c r="S14" s="39">
        <v>1</v>
      </c>
    </row>
    <row r="15" spans="1:19" s="39" customFormat="1" ht="15" x14ac:dyDescent="0.2">
      <c r="A15" s="20">
        <v>13</v>
      </c>
      <c r="B15" s="39" t="s">
        <v>124</v>
      </c>
      <c r="C15" s="39">
        <f>0.299*0.3</f>
        <v>8.9699999999999988E-2</v>
      </c>
      <c r="D15" s="39">
        <f t="shared" si="0"/>
        <v>89.699999999999989</v>
      </c>
      <c r="F15" s="39">
        <v>0.81399999999999995</v>
      </c>
      <c r="G15" s="39">
        <v>0.77600000000000002</v>
      </c>
      <c r="H15" s="39">
        <v>0.98199999999999998</v>
      </c>
      <c r="I15" s="39">
        <v>1.05</v>
      </c>
      <c r="J15" s="39">
        <v>0</v>
      </c>
      <c r="K15" s="39">
        <v>0</v>
      </c>
      <c r="L15" s="39">
        <v>0</v>
      </c>
      <c r="M15" s="39">
        <v>0</v>
      </c>
      <c r="N15" s="3">
        <v>6.5</v>
      </c>
      <c r="O15" s="39">
        <f>MAX(F15:G15)/N15</f>
        <v>0.12523076923076923</v>
      </c>
      <c r="P15" s="39">
        <f t="shared" si="1"/>
        <v>0.16153846153846155</v>
      </c>
      <c r="Q15" s="39">
        <f t="shared" si="2"/>
        <v>0</v>
      </c>
      <c r="R15" s="39">
        <f t="shared" si="3"/>
        <v>0</v>
      </c>
      <c r="S15" s="39">
        <v>1</v>
      </c>
    </row>
    <row r="16" spans="1:19" s="39" customFormat="1" ht="15" x14ac:dyDescent="0.2">
      <c r="A16" s="20">
        <v>14</v>
      </c>
      <c r="B16" s="39" t="s">
        <v>125</v>
      </c>
      <c r="C16" s="39">
        <v>0</v>
      </c>
      <c r="D16" s="39">
        <f t="shared" si="0"/>
        <v>0</v>
      </c>
      <c r="E16" s="39">
        <v>1000</v>
      </c>
      <c r="F16" s="39">
        <v>38</v>
      </c>
      <c r="G16" s="39">
        <v>42.9</v>
      </c>
      <c r="H16" s="39">
        <v>32.200000000000003</v>
      </c>
      <c r="I16" s="39">
        <v>22.2</v>
      </c>
      <c r="J16" s="39">
        <v>11.8</v>
      </c>
      <c r="K16" s="39">
        <v>10.4</v>
      </c>
      <c r="L16" s="39">
        <v>6.61</v>
      </c>
      <c r="M16" s="39">
        <v>6.47</v>
      </c>
      <c r="N16" s="3">
        <v>20</v>
      </c>
      <c r="O16" s="39">
        <f t="shared" si="4"/>
        <v>2.145</v>
      </c>
      <c r="P16" s="39">
        <f t="shared" si="1"/>
        <v>1.61</v>
      </c>
      <c r="Q16" s="39">
        <f t="shared" si="2"/>
        <v>0.59000000000000008</v>
      </c>
      <c r="R16" s="39">
        <f t="shared" si="3"/>
        <v>0.33050000000000002</v>
      </c>
      <c r="S16" s="39">
        <v>1</v>
      </c>
    </row>
    <row r="17" spans="1:40" s="39" customFormat="1" ht="15" x14ac:dyDescent="0.2">
      <c r="A17" s="20">
        <v>15</v>
      </c>
      <c r="B17" s="39" t="s">
        <v>126</v>
      </c>
      <c r="C17" s="39">
        <f>0.816*0.3</f>
        <v>0.24479999999999996</v>
      </c>
      <c r="D17" s="39">
        <f t="shared" si="0"/>
        <v>244.79999999999995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">
        <v>2.4</v>
      </c>
      <c r="O17" s="39">
        <f t="shared" si="4"/>
        <v>0</v>
      </c>
      <c r="P17" s="39">
        <f t="shared" si="1"/>
        <v>0</v>
      </c>
      <c r="Q17" s="39">
        <f t="shared" si="2"/>
        <v>0</v>
      </c>
      <c r="R17" s="39">
        <f t="shared" si="3"/>
        <v>0</v>
      </c>
      <c r="S17" s="39">
        <v>1</v>
      </c>
    </row>
    <row r="18" spans="1:40" s="39" customFormat="1" ht="15" x14ac:dyDescent="0.2">
      <c r="A18" s="20">
        <v>16</v>
      </c>
      <c r="B18" s="39" t="s">
        <v>127</v>
      </c>
      <c r="C18" s="39">
        <v>0</v>
      </c>
      <c r="D18" s="39">
        <f t="shared" si="0"/>
        <v>0</v>
      </c>
      <c r="F18" s="39">
        <v>3.09</v>
      </c>
      <c r="G18" s="39">
        <v>3.67</v>
      </c>
      <c r="H18" s="39">
        <v>4.87</v>
      </c>
      <c r="I18" s="39">
        <v>5.35</v>
      </c>
      <c r="J18" s="39">
        <v>1.57</v>
      </c>
      <c r="K18" s="39">
        <v>1.25</v>
      </c>
      <c r="L18" s="39">
        <v>0</v>
      </c>
      <c r="M18" s="39">
        <v>0</v>
      </c>
      <c r="N18" s="3">
        <v>5.6</v>
      </c>
      <c r="O18" s="39">
        <f t="shared" si="4"/>
        <v>0.65535714285714286</v>
      </c>
      <c r="P18" s="39">
        <f t="shared" si="1"/>
        <v>0.9553571428571429</v>
      </c>
      <c r="Q18" s="39">
        <f t="shared" si="2"/>
        <v>0.28035714285714286</v>
      </c>
      <c r="R18" s="39">
        <f t="shared" si="3"/>
        <v>0</v>
      </c>
      <c r="S18" s="39">
        <v>1</v>
      </c>
    </row>
    <row r="19" spans="1:40" s="39" customFormat="1" ht="15" x14ac:dyDescent="0.2">
      <c r="A19" s="20">
        <v>17</v>
      </c>
      <c r="B19" s="39" t="s">
        <v>1</v>
      </c>
      <c r="C19" s="39">
        <f>135000*0.3</f>
        <v>40500</v>
      </c>
      <c r="D19" s="39">
        <f t="shared" si="0"/>
        <v>40500000</v>
      </c>
      <c r="F19" s="39">
        <v>3020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">
        <v>28</v>
      </c>
      <c r="O19" s="39">
        <f t="shared" si="4"/>
        <v>107.85714285714286</v>
      </c>
      <c r="P19" s="39">
        <f t="shared" si="1"/>
        <v>0</v>
      </c>
      <c r="Q19" s="39">
        <f t="shared" si="2"/>
        <v>0</v>
      </c>
      <c r="R19" s="39">
        <f t="shared" si="3"/>
        <v>0</v>
      </c>
      <c r="S19" s="39">
        <v>1</v>
      </c>
    </row>
    <row r="20" spans="1:40" s="45" customFormat="1" ht="15" x14ac:dyDescent="0.2">
      <c r="A20" s="20">
        <v>18</v>
      </c>
      <c r="B20" s="39" t="s">
        <v>0</v>
      </c>
      <c r="C20" s="39">
        <v>0</v>
      </c>
      <c r="D20" s="39">
        <v>0</v>
      </c>
      <c r="E20" s="39"/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">
        <v>170</v>
      </c>
      <c r="O20" s="39">
        <f>F20/$N$20</f>
        <v>0</v>
      </c>
      <c r="P20" s="39">
        <f t="shared" ref="P20:R20" si="5">G20/$N$20</f>
        <v>0</v>
      </c>
      <c r="Q20" s="39">
        <f t="shared" si="5"/>
        <v>0</v>
      </c>
      <c r="R20" s="39">
        <f t="shared" si="5"/>
        <v>0</v>
      </c>
      <c r="S20" s="39">
        <v>1</v>
      </c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</row>
    <row r="21" spans="1:40" ht="16" x14ac:dyDescent="0.2">
      <c r="E21" s="95" t="s">
        <v>99</v>
      </c>
      <c r="F21" s="97" t="s">
        <v>128</v>
      </c>
      <c r="G21" s="98"/>
      <c r="H21" s="98"/>
      <c r="I21" s="98"/>
      <c r="J21" s="98"/>
      <c r="K21" s="98"/>
      <c r="L21" s="98"/>
      <c r="M21" s="99"/>
      <c r="N21" s="26" t="s">
        <v>104</v>
      </c>
      <c r="O21" s="47" t="s">
        <v>105</v>
      </c>
      <c r="P21" s="48" t="s">
        <v>106</v>
      </c>
      <c r="Q21" s="48" t="s">
        <v>107</v>
      </c>
      <c r="R21" s="49" t="s">
        <v>108</v>
      </c>
    </row>
    <row r="22" spans="1:40" ht="16" x14ac:dyDescent="0.2">
      <c r="E22" s="96"/>
      <c r="F22" s="50">
        <v>10</v>
      </c>
      <c r="G22" s="51">
        <v>10</v>
      </c>
      <c r="H22" s="51">
        <v>10</v>
      </c>
      <c r="I22" s="51">
        <v>10</v>
      </c>
      <c r="J22" s="51">
        <v>10</v>
      </c>
      <c r="K22" s="51">
        <v>10</v>
      </c>
      <c r="L22" s="51">
        <v>10</v>
      </c>
      <c r="M22" s="52">
        <v>10</v>
      </c>
      <c r="N22" s="32" t="s">
        <v>113</v>
      </c>
      <c r="O22" s="47" t="s">
        <v>27</v>
      </c>
      <c r="P22" s="48" t="s">
        <v>27</v>
      </c>
      <c r="Q22" s="48" t="s">
        <v>27</v>
      </c>
      <c r="R22" s="49" t="s">
        <v>27</v>
      </c>
    </row>
    <row r="23" spans="1:40" ht="15" x14ac:dyDescent="0.2">
      <c r="D23" s="20">
        <v>1</v>
      </c>
      <c r="E23" s="39" t="s">
        <v>114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f>L3/$L$22</f>
        <v>0</v>
      </c>
      <c r="M23" s="39">
        <v>0</v>
      </c>
      <c r="N23" s="7">
        <v>5.7000000000000002E-2</v>
      </c>
      <c r="O23" s="39">
        <f>MAX(F23:G23)/N23</f>
        <v>0</v>
      </c>
      <c r="P23" s="39">
        <f>MAX(G23:H23)/N23</f>
        <v>0</v>
      </c>
      <c r="Q23" s="39">
        <f>MAX(J23:K23)/N23</f>
        <v>0</v>
      </c>
      <c r="R23" s="39">
        <f>MAX(L23:M23)/N23</f>
        <v>0</v>
      </c>
    </row>
    <row r="24" spans="1:40" ht="15" x14ac:dyDescent="0.2">
      <c r="D24" s="20">
        <v>2</v>
      </c>
      <c r="E24" s="39" t="s">
        <v>115</v>
      </c>
      <c r="F24" s="39">
        <f>F4/$F$22</f>
        <v>0.371</v>
      </c>
      <c r="G24" s="39">
        <f>G4/$G$22</f>
        <v>0.39800000000000002</v>
      </c>
      <c r="H24" s="39">
        <f>H4/$H$22</f>
        <v>0.31</v>
      </c>
      <c r="I24" s="39">
        <f>I4/$I$22</f>
        <v>0.4</v>
      </c>
      <c r="J24" s="39">
        <f>J4/$J$22</f>
        <v>0.13999999999999999</v>
      </c>
      <c r="K24" s="39">
        <f>K4/$K$22</f>
        <v>0.13999999999999999</v>
      </c>
      <c r="L24" s="39">
        <f>L4/$L$22</f>
        <v>0.45</v>
      </c>
      <c r="M24" s="39">
        <f>M4/$M$22</f>
        <v>9.6000000000000002E-2</v>
      </c>
      <c r="N24" s="7">
        <v>114.7</v>
      </c>
      <c r="O24" s="39">
        <f t="shared" ref="O24:O38" si="6">MAX(F24:G24)/N24</f>
        <v>3.4699215344376638E-3</v>
      </c>
      <c r="P24" s="39">
        <f t="shared" ref="P24:P38" si="7">MAX(G24:H24)/N24</f>
        <v>3.4699215344376638E-3</v>
      </c>
      <c r="Q24" s="39">
        <f t="shared" ref="Q24:Q38" si="8">MAX(J24:K24)/N24</f>
        <v>1.220575414123801E-3</v>
      </c>
      <c r="R24" s="39">
        <f t="shared" ref="R24:R38" si="9">MAX(L24:M24)/N24</f>
        <v>3.9232781168265039E-3</v>
      </c>
    </row>
    <row r="25" spans="1:40" ht="15" x14ac:dyDescent="0.2">
      <c r="D25" s="20">
        <v>3</v>
      </c>
      <c r="E25" s="39" t="s">
        <v>116</v>
      </c>
      <c r="F25" s="39">
        <f t="shared" ref="F25:F40" si="10">F5/$F$22</f>
        <v>2.9</v>
      </c>
      <c r="G25" s="39">
        <f t="shared" ref="G25:G40" si="11">G5/$G$22</f>
        <v>2.4</v>
      </c>
      <c r="H25" s="39">
        <f t="shared" ref="H25:H40" si="12">H5/$H$22</f>
        <v>3.5</v>
      </c>
      <c r="I25" s="39">
        <f t="shared" ref="I25:I40" si="13">I5/$I$22</f>
        <v>2.9</v>
      </c>
      <c r="J25" s="39">
        <f t="shared" ref="J25:J40" si="14">J5/$J$22</f>
        <v>0</v>
      </c>
      <c r="K25" s="39">
        <f t="shared" ref="K25:K40" si="15">K5/$K$22</f>
        <v>0</v>
      </c>
      <c r="L25" s="39">
        <f t="shared" ref="L25:L40" si="16">L5/$L$22</f>
        <v>0</v>
      </c>
      <c r="M25" s="39">
        <f t="shared" ref="M25:M40" si="17">M5/$M$22</f>
        <v>0</v>
      </c>
      <c r="N25" s="6">
        <v>2900</v>
      </c>
      <c r="O25" s="39">
        <f t="shared" si="6"/>
        <v>1E-3</v>
      </c>
      <c r="P25" s="39">
        <f t="shared" si="7"/>
        <v>1.206896551724138E-3</v>
      </c>
      <c r="Q25" s="39">
        <f t="shared" si="8"/>
        <v>0</v>
      </c>
      <c r="R25" s="39">
        <f t="shared" si="9"/>
        <v>0</v>
      </c>
    </row>
    <row r="26" spans="1:40" ht="15" x14ac:dyDescent="0.2">
      <c r="A26" s="20">
        <v>8860</v>
      </c>
      <c r="B26" s="46" t="s">
        <v>47</v>
      </c>
      <c r="C26" s="63" t="s">
        <v>151</v>
      </c>
      <c r="D26" s="20">
        <v>4</v>
      </c>
      <c r="E26" s="39" t="s">
        <v>117</v>
      </c>
      <c r="F26" s="39">
        <f t="shared" si="10"/>
        <v>0.24199999999999999</v>
      </c>
      <c r="G26" s="39">
        <f t="shared" si="11"/>
        <v>0.21099999999999999</v>
      </c>
      <c r="H26" s="39">
        <f t="shared" si="12"/>
        <v>0.30099999999999999</v>
      </c>
      <c r="I26" s="39">
        <f t="shared" si="13"/>
        <v>0.317</v>
      </c>
      <c r="J26" s="39">
        <f t="shared" si="14"/>
        <v>0.10600000000000001</v>
      </c>
      <c r="K26" s="39">
        <f t="shared" si="15"/>
        <v>0.08</v>
      </c>
      <c r="L26" s="39">
        <f t="shared" si="16"/>
        <v>0</v>
      </c>
      <c r="M26" s="39">
        <f t="shared" si="17"/>
        <v>0</v>
      </c>
      <c r="N26" s="3">
        <v>1.06</v>
      </c>
      <c r="O26" s="39">
        <f>MAX(F26:G26)/N26</f>
        <v>0.22830188679245281</v>
      </c>
      <c r="P26" s="39">
        <f t="shared" si="7"/>
        <v>0.28396226415094339</v>
      </c>
      <c r="Q26" s="39">
        <f t="shared" si="8"/>
        <v>0.1</v>
      </c>
      <c r="R26" s="39">
        <f t="shared" si="9"/>
        <v>0</v>
      </c>
    </row>
    <row r="27" spans="1:40" ht="15" x14ac:dyDescent="0.2">
      <c r="D27" s="20">
        <v>5</v>
      </c>
      <c r="E27" s="39" t="s">
        <v>118</v>
      </c>
      <c r="F27" s="39">
        <f t="shared" si="10"/>
        <v>3.9</v>
      </c>
      <c r="G27" s="39">
        <f t="shared" si="11"/>
        <v>3.3299999999999996</v>
      </c>
      <c r="H27" s="39">
        <f t="shared" si="12"/>
        <v>1.72</v>
      </c>
      <c r="I27" s="39">
        <f t="shared" si="13"/>
        <v>0.6</v>
      </c>
      <c r="J27" s="39">
        <f t="shared" si="14"/>
        <v>1.3599999999999999</v>
      </c>
      <c r="K27" s="39">
        <f t="shared" si="15"/>
        <v>2.71</v>
      </c>
      <c r="L27" s="39">
        <f t="shared" si="16"/>
        <v>1.9100000000000001</v>
      </c>
      <c r="M27" s="39">
        <f t="shared" si="17"/>
        <v>2.16</v>
      </c>
      <c r="N27" s="3">
        <v>6.3</v>
      </c>
      <c r="O27" s="39">
        <f>MAX(F27:G27)/N27</f>
        <v>0.61904761904761907</v>
      </c>
      <c r="P27" s="39">
        <f t="shared" si="7"/>
        <v>0.52857142857142858</v>
      </c>
      <c r="Q27" s="39">
        <f t="shared" si="8"/>
        <v>0.43015873015873018</v>
      </c>
      <c r="R27" s="39">
        <f t="shared" si="9"/>
        <v>0.34285714285714292</v>
      </c>
    </row>
    <row r="28" spans="1:40" ht="15" x14ac:dyDescent="0.2">
      <c r="A28" s="39" t="s">
        <v>1</v>
      </c>
      <c r="B28" s="46">
        <f>135000</f>
        <v>135000</v>
      </c>
      <c r="C28" s="46" t="s">
        <v>129</v>
      </c>
      <c r="D28" s="20">
        <v>6</v>
      </c>
      <c r="E28" s="39" t="s">
        <v>16</v>
      </c>
      <c r="F28" s="39">
        <f t="shared" si="10"/>
        <v>0.2</v>
      </c>
      <c r="G28" s="39">
        <f t="shared" si="11"/>
        <v>0</v>
      </c>
      <c r="H28" s="39">
        <f t="shared" si="12"/>
        <v>0.31</v>
      </c>
      <c r="I28" s="39">
        <f t="shared" si="13"/>
        <v>0.26</v>
      </c>
      <c r="J28" s="39">
        <f t="shared" si="14"/>
        <v>0</v>
      </c>
      <c r="K28" s="39">
        <f t="shared" si="15"/>
        <v>0</v>
      </c>
      <c r="L28" s="39">
        <f t="shared" si="16"/>
        <v>0</v>
      </c>
      <c r="M28" s="39">
        <f t="shared" si="17"/>
        <v>0</v>
      </c>
      <c r="N28" s="3">
        <v>1650</v>
      </c>
      <c r="O28" s="39">
        <f>MAX(F28:G28)/N28</f>
        <v>1.2121212121212122E-4</v>
      </c>
      <c r="P28" s="39">
        <f t="shared" si="7"/>
        <v>1.8787878787878787E-4</v>
      </c>
      <c r="Q28" s="39">
        <f t="shared" si="8"/>
        <v>0</v>
      </c>
      <c r="R28" s="39">
        <f t="shared" si="9"/>
        <v>0</v>
      </c>
    </row>
    <row r="29" spans="1:40" ht="15" x14ac:dyDescent="0.2">
      <c r="A29" s="20" t="s">
        <v>130</v>
      </c>
      <c r="B29" s="46">
        <v>3020</v>
      </c>
      <c r="C29" s="20" t="s">
        <v>26</v>
      </c>
      <c r="D29" s="20">
        <v>7</v>
      </c>
      <c r="E29" s="39" t="s">
        <v>119</v>
      </c>
      <c r="F29" s="39">
        <f t="shared" si="10"/>
        <v>8.879999999999999</v>
      </c>
      <c r="G29" s="39">
        <f t="shared" si="11"/>
        <v>8.5</v>
      </c>
      <c r="H29" s="39">
        <f t="shared" si="12"/>
        <v>10.6</v>
      </c>
      <c r="I29" s="39">
        <f t="shared" si="13"/>
        <v>13.2</v>
      </c>
      <c r="J29" s="39">
        <f t="shared" si="14"/>
        <v>5.1100000000000003</v>
      </c>
      <c r="K29" s="39">
        <f t="shared" si="15"/>
        <v>4.2700000000000005</v>
      </c>
      <c r="L29" s="39">
        <f t="shared" si="16"/>
        <v>2.38</v>
      </c>
      <c r="M29" s="39">
        <f t="shared" si="17"/>
        <v>2.3899999999999997</v>
      </c>
      <c r="N29" s="3">
        <v>34</v>
      </c>
      <c r="O29" s="39">
        <f t="shared" si="6"/>
        <v>0.26117647058823529</v>
      </c>
      <c r="P29" s="39">
        <f t="shared" si="7"/>
        <v>0.31176470588235294</v>
      </c>
      <c r="Q29" s="39">
        <f t="shared" si="8"/>
        <v>0.15029411764705883</v>
      </c>
      <c r="R29" s="39">
        <f t="shared" si="9"/>
        <v>7.0294117647058812E-2</v>
      </c>
    </row>
    <row r="30" spans="1:40" ht="15" x14ac:dyDescent="0.2">
      <c r="A30" s="20" t="s">
        <v>131</v>
      </c>
      <c r="B30" s="46">
        <v>998.23</v>
      </c>
      <c r="C30" s="20" t="s">
        <v>47</v>
      </c>
      <c r="D30" s="20">
        <v>8</v>
      </c>
      <c r="E30" s="39" t="s">
        <v>120</v>
      </c>
      <c r="F30" s="39">
        <f t="shared" si="10"/>
        <v>0.24</v>
      </c>
      <c r="G30" s="39">
        <f t="shared" si="11"/>
        <v>0.21000000000000002</v>
      </c>
      <c r="H30" s="39">
        <f t="shared" si="12"/>
        <v>0.5</v>
      </c>
      <c r="I30" s="39">
        <f t="shared" si="13"/>
        <v>0.5</v>
      </c>
      <c r="J30" s="39">
        <f t="shared" si="14"/>
        <v>0.21000000000000002</v>
      </c>
      <c r="K30" s="39">
        <f t="shared" si="15"/>
        <v>0</v>
      </c>
      <c r="L30" s="39">
        <f t="shared" si="16"/>
        <v>0</v>
      </c>
      <c r="M30" s="39">
        <f t="shared" si="17"/>
        <v>0</v>
      </c>
      <c r="N30" s="3">
        <v>11900</v>
      </c>
      <c r="O30" s="39">
        <f t="shared" si="6"/>
        <v>2.0168067226890756E-5</v>
      </c>
      <c r="P30" s="39">
        <f t="shared" si="7"/>
        <v>4.2016806722689077E-5</v>
      </c>
      <c r="Q30" s="39">
        <f t="shared" si="8"/>
        <v>1.7647058823529414E-5</v>
      </c>
      <c r="R30" s="39">
        <f t="shared" si="9"/>
        <v>0</v>
      </c>
    </row>
    <row r="31" spans="1:40" ht="15" x14ac:dyDescent="0.2">
      <c r="A31" s="104" t="s">
        <v>152</v>
      </c>
      <c r="B31" s="46">
        <f>B28*B30</f>
        <v>134761050</v>
      </c>
      <c r="C31" s="63" t="s">
        <v>38</v>
      </c>
      <c r="D31" s="20">
        <v>9</v>
      </c>
      <c r="E31" s="39" t="s">
        <v>11</v>
      </c>
      <c r="F31" s="39">
        <f t="shared" si="10"/>
        <v>15.9</v>
      </c>
      <c r="G31" s="39">
        <f t="shared" si="11"/>
        <v>13.9</v>
      </c>
      <c r="H31" s="39">
        <f t="shared" si="12"/>
        <v>29.8</v>
      </c>
      <c r="I31" s="39">
        <f t="shared" si="13"/>
        <v>36.6</v>
      </c>
      <c r="J31" s="39">
        <f t="shared" si="14"/>
        <v>10.6</v>
      </c>
      <c r="K31" s="39">
        <f t="shared" si="15"/>
        <v>8.92</v>
      </c>
      <c r="L31" s="39">
        <f t="shared" si="16"/>
        <v>6.14</v>
      </c>
      <c r="M31" s="39">
        <f t="shared" si="17"/>
        <v>5.8</v>
      </c>
      <c r="N31" s="3">
        <v>37</v>
      </c>
      <c r="O31" s="39">
        <f t="shared" si="6"/>
        <v>0.42972972972972973</v>
      </c>
      <c r="P31" s="39">
        <f t="shared" si="7"/>
        <v>0.80540540540540539</v>
      </c>
      <c r="Q31" s="39">
        <f t="shared" si="8"/>
        <v>0.2864864864864865</v>
      </c>
      <c r="R31" s="39">
        <f t="shared" si="9"/>
        <v>0.16594594594594594</v>
      </c>
    </row>
    <row r="32" spans="1:40" ht="15" x14ac:dyDescent="0.2">
      <c r="A32" s="104"/>
      <c r="B32" s="46">
        <f>B31/1000</f>
        <v>134761.04999999999</v>
      </c>
      <c r="C32" s="20" t="s">
        <v>136</v>
      </c>
      <c r="D32" s="20">
        <v>10</v>
      </c>
      <c r="E32" s="39" t="s">
        <v>121</v>
      </c>
      <c r="F32" s="39">
        <f t="shared" si="10"/>
        <v>0.28999999999999998</v>
      </c>
      <c r="G32" s="39">
        <f t="shared" si="11"/>
        <v>0.22000000000000003</v>
      </c>
      <c r="H32" s="39">
        <f t="shared" si="12"/>
        <v>0.5</v>
      </c>
      <c r="I32" s="39">
        <f t="shared" si="13"/>
        <v>0.53</v>
      </c>
      <c r="J32" s="39">
        <f t="shared" si="14"/>
        <v>0.24</v>
      </c>
      <c r="K32" s="39">
        <f t="shared" si="15"/>
        <v>0.22000000000000003</v>
      </c>
      <c r="L32" s="39">
        <f t="shared" si="16"/>
        <v>0.15</v>
      </c>
      <c r="M32" s="39">
        <f t="shared" si="17"/>
        <v>0.15</v>
      </c>
      <c r="N32" s="3">
        <v>4.0999999999999996</v>
      </c>
      <c r="O32" s="39">
        <f t="shared" si="6"/>
        <v>7.0731707317073178E-2</v>
      </c>
      <c r="P32" s="39">
        <f t="shared" si="7"/>
        <v>0.12195121951219513</v>
      </c>
      <c r="Q32" s="39">
        <f t="shared" si="8"/>
        <v>5.8536585365853662E-2</v>
      </c>
      <c r="R32" s="39">
        <f t="shared" si="9"/>
        <v>3.6585365853658541E-2</v>
      </c>
    </row>
    <row r="33" spans="1:18" ht="15" x14ac:dyDescent="0.2">
      <c r="A33" s="104"/>
      <c r="B33" s="46">
        <f>B32*1000</f>
        <v>134761050</v>
      </c>
      <c r="C33" s="20" t="s">
        <v>26</v>
      </c>
      <c r="D33" s="20">
        <v>11</v>
      </c>
      <c r="E33" s="39" t="s">
        <v>9</v>
      </c>
      <c r="F33" s="39">
        <f t="shared" si="10"/>
        <v>36.5</v>
      </c>
      <c r="G33" s="39">
        <f t="shared" si="11"/>
        <v>26.5</v>
      </c>
      <c r="H33" s="39">
        <f t="shared" si="12"/>
        <v>61.3</v>
      </c>
      <c r="I33" s="39">
        <f t="shared" si="13"/>
        <v>48.4</v>
      </c>
      <c r="J33" s="39">
        <f t="shared" si="14"/>
        <v>34.1</v>
      </c>
      <c r="K33" s="39">
        <f t="shared" si="15"/>
        <v>28.6</v>
      </c>
      <c r="L33" s="39">
        <f t="shared" si="16"/>
        <v>24.2</v>
      </c>
      <c r="M33" s="39">
        <f t="shared" si="17"/>
        <v>22</v>
      </c>
      <c r="N33" s="3">
        <v>14.4</v>
      </c>
      <c r="O33" s="39">
        <f t="shared" si="6"/>
        <v>2.5347222222222223</v>
      </c>
      <c r="P33" s="39">
        <f t="shared" si="7"/>
        <v>4.2569444444444438</v>
      </c>
      <c r="Q33" s="39">
        <f t="shared" si="8"/>
        <v>2.3680555555555558</v>
      </c>
      <c r="R33" s="39">
        <f t="shared" si="9"/>
        <v>1.6805555555555554</v>
      </c>
    </row>
    <row r="34" spans="1:18" ht="15" x14ac:dyDescent="0.2">
      <c r="A34" s="53" t="s">
        <v>132</v>
      </c>
      <c r="B34" s="54">
        <f>B28*0.3</f>
        <v>40500</v>
      </c>
      <c r="C34" s="53" t="s">
        <v>133</v>
      </c>
      <c r="D34" s="20">
        <v>12</v>
      </c>
      <c r="E34" s="39" t="s">
        <v>123</v>
      </c>
      <c r="F34" s="39">
        <f t="shared" si="10"/>
        <v>0</v>
      </c>
      <c r="G34" s="39">
        <f t="shared" si="11"/>
        <v>5.5999999999999999E-3</v>
      </c>
      <c r="H34" s="39">
        <f t="shared" si="12"/>
        <v>0</v>
      </c>
      <c r="I34" s="39">
        <f t="shared" si="13"/>
        <v>0</v>
      </c>
      <c r="J34" s="39">
        <f t="shared" si="14"/>
        <v>0</v>
      </c>
      <c r="K34" s="39">
        <f t="shared" si="15"/>
        <v>0</v>
      </c>
      <c r="L34" s="39">
        <f t="shared" si="16"/>
        <v>0</v>
      </c>
      <c r="M34" s="39">
        <f t="shared" si="17"/>
        <v>0</v>
      </c>
      <c r="N34" s="3">
        <v>0.19</v>
      </c>
      <c r="O34" s="39">
        <f t="shared" si="6"/>
        <v>2.9473684210526315E-2</v>
      </c>
      <c r="P34" s="39">
        <f t="shared" si="7"/>
        <v>2.9473684210526315E-2</v>
      </c>
      <c r="Q34" s="39">
        <f t="shared" si="8"/>
        <v>0</v>
      </c>
      <c r="R34" s="39">
        <f t="shared" si="9"/>
        <v>0</v>
      </c>
    </row>
    <row r="35" spans="1:18" ht="15" x14ac:dyDescent="0.2">
      <c r="A35" s="20" t="s">
        <v>134</v>
      </c>
      <c r="B35" s="46">
        <v>1780</v>
      </c>
      <c r="C35" s="20" t="s">
        <v>47</v>
      </c>
      <c r="D35" s="20">
        <v>13</v>
      </c>
      <c r="E35" s="39" t="s">
        <v>124</v>
      </c>
      <c r="F35" s="39">
        <f t="shared" si="10"/>
        <v>8.14E-2</v>
      </c>
      <c r="G35" s="39">
        <f t="shared" si="11"/>
        <v>7.7600000000000002E-2</v>
      </c>
      <c r="H35" s="39">
        <f t="shared" si="12"/>
        <v>9.8199999999999996E-2</v>
      </c>
      <c r="I35" s="39">
        <f t="shared" si="13"/>
        <v>0.10500000000000001</v>
      </c>
      <c r="J35" s="39">
        <f t="shared" si="14"/>
        <v>0</v>
      </c>
      <c r="K35" s="39">
        <f t="shared" si="15"/>
        <v>0</v>
      </c>
      <c r="L35" s="39">
        <f t="shared" si="16"/>
        <v>0</v>
      </c>
      <c r="M35" s="39">
        <f t="shared" si="17"/>
        <v>0</v>
      </c>
      <c r="N35" s="3">
        <v>6.5</v>
      </c>
      <c r="O35" s="39">
        <f t="shared" si="6"/>
        <v>1.2523076923076923E-2</v>
      </c>
      <c r="P35" s="39">
        <f t="shared" si="7"/>
        <v>1.5107692307692306E-2</v>
      </c>
      <c r="Q35" s="39">
        <f t="shared" si="8"/>
        <v>0</v>
      </c>
      <c r="R35" s="39">
        <f t="shared" si="9"/>
        <v>0</v>
      </c>
    </row>
    <row r="36" spans="1:18" ht="15" x14ac:dyDescent="0.2">
      <c r="A36" s="63"/>
      <c r="C36" s="63"/>
      <c r="D36" s="20">
        <v>14</v>
      </c>
      <c r="E36" s="39" t="s">
        <v>125</v>
      </c>
      <c r="F36" s="39">
        <f t="shared" si="10"/>
        <v>3.8</v>
      </c>
      <c r="G36" s="39">
        <f t="shared" si="11"/>
        <v>4.29</v>
      </c>
      <c r="H36" s="39">
        <f t="shared" si="12"/>
        <v>3.22</v>
      </c>
      <c r="I36" s="39">
        <f t="shared" si="13"/>
        <v>2.2199999999999998</v>
      </c>
      <c r="J36" s="39">
        <f t="shared" si="14"/>
        <v>1.1800000000000002</v>
      </c>
      <c r="K36" s="39">
        <f t="shared" si="15"/>
        <v>1.04</v>
      </c>
      <c r="L36" s="39">
        <f t="shared" si="16"/>
        <v>0.66100000000000003</v>
      </c>
      <c r="M36" s="39">
        <f t="shared" si="17"/>
        <v>0.64700000000000002</v>
      </c>
      <c r="N36" s="3">
        <v>20</v>
      </c>
      <c r="O36" s="39">
        <f>MAX(F36:G36)/N36</f>
        <v>0.2145</v>
      </c>
      <c r="P36" s="39">
        <f t="shared" si="7"/>
        <v>0.2145</v>
      </c>
      <c r="Q36" s="39">
        <f t="shared" si="8"/>
        <v>5.9000000000000011E-2</v>
      </c>
      <c r="R36" s="39">
        <f t="shared" si="9"/>
        <v>3.3050000000000003E-2</v>
      </c>
    </row>
    <row r="37" spans="1:18" ht="15" x14ac:dyDescent="0.2">
      <c r="A37" s="104" t="s">
        <v>135</v>
      </c>
      <c r="B37" s="20">
        <v>3020</v>
      </c>
      <c r="C37" s="46" t="s">
        <v>26</v>
      </c>
      <c r="D37" s="20">
        <v>15</v>
      </c>
      <c r="E37" s="39" t="s">
        <v>126</v>
      </c>
      <c r="F37" s="39">
        <f t="shared" si="10"/>
        <v>0</v>
      </c>
      <c r="G37" s="39">
        <f t="shared" si="11"/>
        <v>0</v>
      </c>
      <c r="H37" s="39">
        <f t="shared" si="12"/>
        <v>0</v>
      </c>
      <c r="I37" s="39">
        <f t="shared" si="13"/>
        <v>0</v>
      </c>
      <c r="J37" s="39">
        <f t="shared" si="14"/>
        <v>0</v>
      </c>
      <c r="K37" s="39">
        <f t="shared" si="15"/>
        <v>0</v>
      </c>
      <c r="L37" s="39">
        <f t="shared" si="16"/>
        <v>0</v>
      </c>
      <c r="M37" s="39">
        <f t="shared" si="17"/>
        <v>0</v>
      </c>
      <c r="N37" s="3">
        <v>2.4</v>
      </c>
      <c r="O37" s="39">
        <f t="shared" si="6"/>
        <v>0</v>
      </c>
      <c r="P37" s="39">
        <f t="shared" si="7"/>
        <v>0</v>
      </c>
      <c r="Q37" s="39">
        <f t="shared" si="8"/>
        <v>0</v>
      </c>
      <c r="R37" s="39">
        <f t="shared" si="9"/>
        <v>0</v>
      </c>
    </row>
    <row r="38" spans="1:18" ht="15" x14ac:dyDescent="0.2">
      <c r="A38" s="104"/>
      <c r="B38" s="20">
        <f>B37/1000</f>
        <v>3.02</v>
      </c>
      <c r="C38" s="46" t="s">
        <v>136</v>
      </c>
      <c r="D38" s="20">
        <v>16</v>
      </c>
      <c r="E38" s="39" t="s">
        <v>127</v>
      </c>
      <c r="F38" s="39">
        <f t="shared" si="10"/>
        <v>0.309</v>
      </c>
      <c r="G38" s="39">
        <f t="shared" si="11"/>
        <v>0.36699999999999999</v>
      </c>
      <c r="H38" s="39">
        <f t="shared" si="12"/>
        <v>0.48699999999999999</v>
      </c>
      <c r="I38" s="39">
        <f t="shared" si="13"/>
        <v>0.53499999999999992</v>
      </c>
      <c r="J38" s="39">
        <f t="shared" si="14"/>
        <v>0.157</v>
      </c>
      <c r="K38" s="39">
        <f t="shared" si="15"/>
        <v>0.125</v>
      </c>
      <c r="L38" s="39">
        <f t="shared" si="16"/>
        <v>0</v>
      </c>
      <c r="M38" s="39">
        <f t="shared" si="17"/>
        <v>0</v>
      </c>
      <c r="N38" s="3">
        <v>5.6</v>
      </c>
      <c r="O38" s="39">
        <f t="shared" si="6"/>
        <v>6.5535714285714294E-2</v>
      </c>
      <c r="P38" s="39">
        <f t="shared" si="7"/>
        <v>8.6964285714285716E-2</v>
      </c>
      <c r="Q38" s="39">
        <f t="shared" si="8"/>
        <v>2.8035714285714289E-2</v>
      </c>
      <c r="R38" s="39">
        <f t="shared" si="9"/>
        <v>0</v>
      </c>
    </row>
    <row r="39" spans="1:18" ht="15" x14ac:dyDescent="0.2">
      <c r="A39" s="104"/>
      <c r="B39" s="20">
        <f>B38*1000</f>
        <v>3020</v>
      </c>
      <c r="C39" s="46" t="s">
        <v>38</v>
      </c>
      <c r="D39" s="20">
        <v>17</v>
      </c>
      <c r="E39" s="39" t="s">
        <v>1</v>
      </c>
      <c r="F39" s="39">
        <f t="shared" si="10"/>
        <v>302</v>
      </c>
      <c r="G39" s="39">
        <f t="shared" si="11"/>
        <v>0</v>
      </c>
      <c r="H39" s="39">
        <f t="shared" si="12"/>
        <v>0</v>
      </c>
      <c r="I39" s="39">
        <f t="shared" si="13"/>
        <v>0</v>
      </c>
      <c r="J39" s="39">
        <f t="shared" si="14"/>
        <v>0</v>
      </c>
      <c r="K39" s="39">
        <f t="shared" si="15"/>
        <v>0</v>
      </c>
      <c r="L39" s="39">
        <f t="shared" si="16"/>
        <v>0</v>
      </c>
      <c r="M39" s="39">
        <f t="shared" si="17"/>
        <v>0</v>
      </c>
      <c r="N39" s="3">
        <v>28</v>
      </c>
      <c r="O39" s="39">
        <f>MAX(F39:G39)/N39</f>
        <v>10.785714285714286</v>
      </c>
      <c r="P39" s="39">
        <f>MAX(G39:H39)/N39</f>
        <v>0</v>
      </c>
      <c r="Q39" s="39">
        <f>MAX(J39:K39)/N39</f>
        <v>0</v>
      </c>
      <c r="R39" s="39">
        <f>MAX(L39:M39)/N39</f>
        <v>0</v>
      </c>
    </row>
    <row r="40" spans="1:18" ht="15" x14ac:dyDescent="0.2">
      <c r="A40" s="20" t="s">
        <v>137</v>
      </c>
      <c r="B40" s="20">
        <f>B39/B35</f>
        <v>1.696629213483146</v>
      </c>
      <c r="C40" s="46" t="s">
        <v>129</v>
      </c>
      <c r="D40" s="20">
        <v>18</v>
      </c>
      <c r="E40" s="39" t="s">
        <v>0</v>
      </c>
      <c r="F40" s="39">
        <f t="shared" si="10"/>
        <v>0</v>
      </c>
      <c r="G40" s="39">
        <f t="shared" si="11"/>
        <v>0</v>
      </c>
      <c r="H40" s="39">
        <f t="shared" si="12"/>
        <v>0</v>
      </c>
      <c r="I40" s="39">
        <f t="shared" si="13"/>
        <v>0</v>
      </c>
      <c r="J40" s="39">
        <f t="shared" si="14"/>
        <v>0</v>
      </c>
      <c r="K40" s="39">
        <f t="shared" si="15"/>
        <v>0</v>
      </c>
      <c r="L40" s="39">
        <f t="shared" si="16"/>
        <v>0</v>
      </c>
      <c r="M40" s="39">
        <f t="shared" si="17"/>
        <v>0</v>
      </c>
      <c r="N40" s="3">
        <v>170</v>
      </c>
      <c r="O40" s="39">
        <f>F40/$N$40</f>
        <v>0</v>
      </c>
      <c r="P40" s="39">
        <f t="shared" ref="P40:R40" si="18">G40/$N$40</f>
        <v>0</v>
      </c>
      <c r="Q40" s="39">
        <f t="shared" si="18"/>
        <v>0</v>
      </c>
      <c r="R40" s="39">
        <f t="shared" si="18"/>
        <v>0</v>
      </c>
    </row>
    <row r="41" spans="1:18" ht="16" x14ac:dyDescent="0.2">
      <c r="A41" s="20" t="s">
        <v>139</v>
      </c>
      <c r="B41" s="64">
        <f>B40/B34</f>
        <v>4.1892079345262861E-5</v>
      </c>
      <c r="C41" s="20" t="s">
        <v>153</v>
      </c>
      <c r="E41" s="95" t="s">
        <v>99</v>
      </c>
      <c r="F41" s="97" t="s">
        <v>128</v>
      </c>
      <c r="G41" s="98"/>
      <c r="H41" s="98"/>
      <c r="I41" s="98"/>
      <c r="J41" s="98"/>
      <c r="K41" s="98"/>
      <c r="L41" s="98"/>
      <c r="M41" s="99"/>
      <c r="N41" s="59" t="s">
        <v>104</v>
      </c>
      <c r="O41" s="47" t="s">
        <v>105</v>
      </c>
      <c r="P41" s="48" t="s">
        <v>106</v>
      </c>
      <c r="Q41" s="48" t="s">
        <v>107</v>
      </c>
      <c r="R41" s="49" t="s">
        <v>108</v>
      </c>
    </row>
    <row r="42" spans="1:18" ht="15" x14ac:dyDescent="0.2">
      <c r="E42" s="96"/>
      <c r="F42" s="50">
        <v>20</v>
      </c>
      <c r="G42" s="51">
        <v>20</v>
      </c>
      <c r="H42" s="51">
        <v>20</v>
      </c>
      <c r="I42" s="51">
        <v>20</v>
      </c>
      <c r="J42" s="51">
        <v>20</v>
      </c>
      <c r="K42" s="51">
        <v>20</v>
      </c>
      <c r="L42" s="51">
        <v>20</v>
      </c>
      <c r="M42" s="52">
        <v>20</v>
      </c>
      <c r="N42" s="60" t="s">
        <v>113</v>
      </c>
      <c r="O42" s="47" t="s">
        <v>27</v>
      </c>
      <c r="P42" s="48" t="s">
        <v>27</v>
      </c>
      <c r="Q42" s="48" t="s">
        <v>27</v>
      </c>
      <c r="R42" s="49" t="s">
        <v>27</v>
      </c>
    </row>
    <row r="43" spans="1:18" ht="15" x14ac:dyDescent="0.2">
      <c r="B43" s="46">
        <f>B40/0.3</f>
        <v>5.6554307116104869</v>
      </c>
      <c r="C43" s="20" t="s">
        <v>138</v>
      </c>
      <c r="D43" s="20">
        <v>1</v>
      </c>
      <c r="E43" s="39" t="s">
        <v>114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f>L3/$L$42</f>
        <v>0</v>
      </c>
      <c r="M43" s="39">
        <v>0</v>
      </c>
      <c r="N43" s="7">
        <v>5.7000000000000002E-2</v>
      </c>
      <c r="O43" s="39">
        <f>MAX(F43:G43)/N43</f>
        <v>0</v>
      </c>
      <c r="P43" s="39">
        <f>MAX(G43:H43)/N43</f>
        <v>0</v>
      </c>
      <c r="Q43" s="39">
        <f>MAX(J43:K43)/N43</f>
        <v>0</v>
      </c>
      <c r="R43" s="39">
        <f>MAX(L43:M43)/N43</f>
        <v>0</v>
      </c>
    </row>
    <row r="44" spans="1:18" ht="15" x14ac:dyDescent="0.2">
      <c r="B44" s="46">
        <f>B43/B34</f>
        <v>1.3964026448420956E-4</v>
      </c>
      <c r="C44" s="20">
        <f>B44*100</f>
        <v>1.3964026448420956E-2</v>
      </c>
      <c r="D44" s="20">
        <v>2</v>
      </c>
      <c r="E44" s="39" t="s">
        <v>115</v>
      </c>
      <c r="F44" s="39">
        <f>F4/$F$42</f>
        <v>0.1855</v>
      </c>
      <c r="G44" s="39">
        <f>G4/$G$42</f>
        <v>0.19900000000000001</v>
      </c>
      <c r="H44" s="39">
        <f>H4/$H$42</f>
        <v>0.155</v>
      </c>
      <c r="I44" s="39">
        <f>I4/$I$42</f>
        <v>0.2</v>
      </c>
      <c r="J44" s="39">
        <f>J4/$J$42</f>
        <v>6.9999999999999993E-2</v>
      </c>
      <c r="K44" s="39">
        <f>K4/$K$42</f>
        <v>6.9999999999999993E-2</v>
      </c>
      <c r="L44" s="39">
        <f>L4/$L$42</f>
        <v>0.22500000000000001</v>
      </c>
      <c r="M44" s="39">
        <f>M4/$M$42</f>
        <v>4.8000000000000001E-2</v>
      </c>
      <c r="N44" s="7">
        <v>114.7</v>
      </c>
      <c r="O44" s="39">
        <f t="shared" ref="O44:O45" si="19">MAX(F44:G44)/N44</f>
        <v>1.7349607672188319E-3</v>
      </c>
      <c r="P44" s="39">
        <f t="shared" ref="P44:P60" si="20">MAX(G44:H44)/N44</f>
        <v>1.7349607672188319E-3</v>
      </c>
      <c r="Q44" s="39">
        <f t="shared" ref="Q44:Q60" si="21">MAX(J44:K44)/N44</f>
        <v>6.102877070619005E-4</v>
      </c>
      <c r="R44" s="39">
        <f t="shared" ref="R44:R60" si="22">MAX(L44:M44)/N44</f>
        <v>1.9616390584132519E-3</v>
      </c>
    </row>
    <row r="45" spans="1:18" ht="15" x14ac:dyDescent="0.2">
      <c r="D45" s="20">
        <v>3</v>
      </c>
      <c r="E45" s="39" t="s">
        <v>116</v>
      </c>
      <c r="F45" s="39">
        <f t="shared" ref="F45:F60" si="23">F5/$F$42</f>
        <v>1.45</v>
      </c>
      <c r="G45" s="39">
        <f t="shared" ref="G45:G60" si="24">G5/$G$42</f>
        <v>1.2</v>
      </c>
      <c r="H45" s="39">
        <f t="shared" ref="H45:H60" si="25">H5/$H$42</f>
        <v>1.75</v>
      </c>
      <c r="I45" s="39">
        <f t="shared" ref="I45:I60" si="26">I5/$I$42</f>
        <v>1.45</v>
      </c>
      <c r="J45" s="39">
        <f t="shared" ref="J45:J60" si="27">J5/$J$42</f>
        <v>0</v>
      </c>
      <c r="K45" s="39">
        <f t="shared" ref="K45:K60" si="28">K5/$K$42</f>
        <v>0</v>
      </c>
      <c r="L45" s="39">
        <f t="shared" ref="L45:L60" si="29">L5/$L$42</f>
        <v>0</v>
      </c>
      <c r="M45" s="39">
        <f t="shared" ref="M45:M60" si="30">M5/$M$42</f>
        <v>0</v>
      </c>
      <c r="N45" s="6">
        <v>2900</v>
      </c>
      <c r="O45" s="39">
        <f t="shared" si="19"/>
        <v>5.0000000000000001E-4</v>
      </c>
      <c r="P45" s="39">
        <f t="shared" si="20"/>
        <v>6.03448275862069E-4</v>
      </c>
      <c r="Q45" s="39">
        <f t="shared" si="21"/>
        <v>0</v>
      </c>
      <c r="R45" s="39">
        <f t="shared" si="22"/>
        <v>0</v>
      </c>
    </row>
    <row r="46" spans="1:18" ht="15" x14ac:dyDescent="0.2">
      <c r="D46" s="20">
        <v>4</v>
      </c>
      <c r="E46" s="39" t="s">
        <v>117</v>
      </c>
      <c r="F46" s="39">
        <f t="shared" si="23"/>
        <v>0.121</v>
      </c>
      <c r="G46" s="39">
        <f t="shared" si="24"/>
        <v>0.1055</v>
      </c>
      <c r="H46" s="39">
        <f t="shared" si="25"/>
        <v>0.15049999999999999</v>
      </c>
      <c r="I46" s="39">
        <f t="shared" si="26"/>
        <v>0.1585</v>
      </c>
      <c r="J46" s="39">
        <f t="shared" si="27"/>
        <v>5.3000000000000005E-2</v>
      </c>
      <c r="K46" s="39">
        <f t="shared" si="28"/>
        <v>0.04</v>
      </c>
      <c r="L46" s="39">
        <f t="shared" si="29"/>
        <v>0</v>
      </c>
      <c r="M46" s="39">
        <f t="shared" si="30"/>
        <v>0</v>
      </c>
      <c r="N46" s="3">
        <v>1.06</v>
      </c>
      <c r="O46" s="39">
        <f>MAX(F46:G46)/N46</f>
        <v>0.1141509433962264</v>
      </c>
      <c r="P46" s="39">
        <f t="shared" si="20"/>
        <v>0.14198113207547169</v>
      </c>
      <c r="Q46" s="39">
        <f t="shared" si="21"/>
        <v>0.05</v>
      </c>
      <c r="R46" s="39">
        <f t="shared" si="22"/>
        <v>0</v>
      </c>
    </row>
    <row r="47" spans="1:18" ht="15" x14ac:dyDescent="0.2">
      <c r="D47" s="20">
        <v>5</v>
      </c>
      <c r="E47" s="39" t="s">
        <v>118</v>
      </c>
      <c r="F47" s="39">
        <f t="shared" si="23"/>
        <v>1.95</v>
      </c>
      <c r="G47" s="39">
        <f t="shared" si="24"/>
        <v>1.6649999999999998</v>
      </c>
      <c r="H47" s="39">
        <f t="shared" si="25"/>
        <v>0.86</v>
      </c>
      <c r="I47" s="39">
        <f t="shared" si="26"/>
        <v>0.3</v>
      </c>
      <c r="J47" s="39">
        <f t="shared" si="27"/>
        <v>0.67999999999999994</v>
      </c>
      <c r="K47" s="39">
        <f t="shared" si="28"/>
        <v>1.355</v>
      </c>
      <c r="L47" s="39">
        <f t="shared" si="29"/>
        <v>0.95500000000000007</v>
      </c>
      <c r="M47" s="39">
        <f t="shared" si="30"/>
        <v>1.08</v>
      </c>
      <c r="N47" s="3">
        <v>6.3</v>
      </c>
      <c r="O47" s="39">
        <f>MAX(F47:G47)/N47</f>
        <v>0.30952380952380953</v>
      </c>
      <c r="P47" s="39">
        <f t="shared" si="20"/>
        <v>0.26428571428571429</v>
      </c>
      <c r="Q47" s="39">
        <f t="shared" si="21"/>
        <v>0.21507936507936509</v>
      </c>
      <c r="R47" s="39">
        <f t="shared" si="22"/>
        <v>0.17142857142857146</v>
      </c>
    </row>
    <row r="48" spans="1:18" ht="15" x14ac:dyDescent="0.2">
      <c r="D48" s="20">
        <v>6</v>
      </c>
      <c r="E48" s="39" t="s">
        <v>16</v>
      </c>
      <c r="F48" s="39">
        <f t="shared" si="23"/>
        <v>0.1</v>
      </c>
      <c r="G48" s="39">
        <f t="shared" si="24"/>
        <v>0</v>
      </c>
      <c r="H48" s="39">
        <f t="shared" si="25"/>
        <v>0.155</v>
      </c>
      <c r="I48" s="39">
        <f t="shared" si="26"/>
        <v>0.13</v>
      </c>
      <c r="J48" s="39">
        <f t="shared" si="27"/>
        <v>0</v>
      </c>
      <c r="K48" s="39">
        <f t="shared" si="28"/>
        <v>0</v>
      </c>
      <c r="L48" s="39">
        <f t="shared" si="29"/>
        <v>0</v>
      </c>
      <c r="M48" s="39">
        <f t="shared" si="30"/>
        <v>0</v>
      </c>
      <c r="N48" s="3">
        <v>1650</v>
      </c>
      <c r="O48" s="39">
        <f>MAX(F48:G48)/N48</f>
        <v>6.0606060606060611E-5</v>
      </c>
      <c r="P48" s="39">
        <f t="shared" si="20"/>
        <v>9.3939393939393933E-5</v>
      </c>
      <c r="Q48" s="39">
        <f t="shared" si="21"/>
        <v>0</v>
      </c>
      <c r="R48" s="39">
        <f t="shared" si="22"/>
        <v>0</v>
      </c>
    </row>
    <row r="49" spans="4:18" ht="15" x14ac:dyDescent="0.2">
      <c r="D49" s="20">
        <v>7</v>
      </c>
      <c r="E49" s="39" t="s">
        <v>119</v>
      </c>
      <c r="F49" s="39">
        <f t="shared" si="23"/>
        <v>4.4399999999999995</v>
      </c>
      <c r="G49" s="39">
        <f t="shared" si="24"/>
        <v>4.25</v>
      </c>
      <c r="H49" s="39">
        <f t="shared" si="25"/>
        <v>5.3</v>
      </c>
      <c r="I49" s="39">
        <f t="shared" si="26"/>
        <v>6.6</v>
      </c>
      <c r="J49" s="39">
        <f t="shared" si="27"/>
        <v>2.5550000000000002</v>
      </c>
      <c r="K49" s="39">
        <f t="shared" si="28"/>
        <v>2.1350000000000002</v>
      </c>
      <c r="L49" s="39">
        <f t="shared" si="29"/>
        <v>1.19</v>
      </c>
      <c r="M49" s="39">
        <f t="shared" si="30"/>
        <v>1.1949999999999998</v>
      </c>
      <c r="N49" s="3">
        <v>34</v>
      </c>
      <c r="O49" s="39">
        <f t="shared" ref="O49:O60" si="31">MAX(F49:G49)/N49</f>
        <v>0.13058823529411764</v>
      </c>
      <c r="P49" s="39">
        <f t="shared" si="20"/>
        <v>0.15588235294117647</v>
      </c>
      <c r="Q49" s="39">
        <f t="shared" si="21"/>
        <v>7.5147058823529414E-2</v>
      </c>
      <c r="R49" s="39">
        <f t="shared" si="22"/>
        <v>3.5147058823529406E-2</v>
      </c>
    </row>
    <row r="50" spans="4:18" ht="15" x14ac:dyDescent="0.2">
      <c r="D50" s="20">
        <v>8</v>
      </c>
      <c r="E50" s="39" t="s">
        <v>120</v>
      </c>
      <c r="F50" s="39">
        <f t="shared" si="23"/>
        <v>0.12</v>
      </c>
      <c r="G50" s="39">
        <f t="shared" si="24"/>
        <v>0.10500000000000001</v>
      </c>
      <c r="H50" s="39">
        <f t="shared" si="25"/>
        <v>0.25</v>
      </c>
      <c r="I50" s="39">
        <f t="shared" si="26"/>
        <v>0.25</v>
      </c>
      <c r="J50" s="39">
        <f t="shared" si="27"/>
        <v>0.10500000000000001</v>
      </c>
      <c r="K50" s="39">
        <f t="shared" si="28"/>
        <v>0</v>
      </c>
      <c r="L50" s="39">
        <f t="shared" si="29"/>
        <v>0</v>
      </c>
      <c r="M50" s="39">
        <f t="shared" si="30"/>
        <v>0</v>
      </c>
      <c r="N50" s="3">
        <v>11900</v>
      </c>
      <c r="O50" s="39">
        <f t="shared" si="31"/>
        <v>1.0084033613445378E-5</v>
      </c>
      <c r="P50" s="39">
        <f t="shared" si="20"/>
        <v>2.1008403361344538E-5</v>
      </c>
      <c r="Q50" s="39">
        <f t="shared" si="21"/>
        <v>8.8235294117647068E-6</v>
      </c>
      <c r="R50" s="39">
        <f t="shared" si="22"/>
        <v>0</v>
      </c>
    </row>
    <row r="51" spans="4:18" ht="15" x14ac:dyDescent="0.2">
      <c r="D51" s="20">
        <v>9</v>
      </c>
      <c r="E51" s="39" t="s">
        <v>11</v>
      </c>
      <c r="F51" s="39">
        <f t="shared" si="23"/>
        <v>7.95</v>
      </c>
      <c r="G51" s="39">
        <f t="shared" si="24"/>
        <v>6.95</v>
      </c>
      <c r="H51" s="39">
        <f t="shared" si="25"/>
        <v>14.9</v>
      </c>
      <c r="I51" s="39">
        <f t="shared" si="26"/>
        <v>18.3</v>
      </c>
      <c r="J51" s="39">
        <f t="shared" si="27"/>
        <v>5.3</v>
      </c>
      <c r="K51" s="39">
        <f t="shared" si="28"/>
        <v>4.46</v>
      </c>
      <c r="L51" s="39">
        <f t="shared" si="29"/>
        <v>3.07</v>
      </c>
      <c r="M51" s="39">
        <f t="shared" si="30"/>
        <v>2.9</v>
      </c>
      <c r="N51" s="3">
        <v>37</v>
      </c>
      <c r="O51" s="39">
        <f t="shared" si="31"/>
        <v>0.21486486486486486</v>
      </c>
      <c r="P51" s="39">
        <f t="shared" si="20"/>
        <v>0.4027027027027027</v>
      </c>
      <c r="Q51" s="39">
        <f t="shared" si="21"/>
        <v>0.14324324324324325</v>
      </c>
      <c r="R51" s="39">
        <f t="shared" si="22"/>
        <v>8.2972972972972972E-2</v>
      </c>
    </row>
    <row r="52" spans="4:18" ht="15" x14ac:dyDescent="0.2">
      <c r="D52" s="20">
        <v>10</v>
      </c>
      <c r="E52" s="39" t="s">
        <v>121</v>
      </c>
      <c r="F52" s="39">
        <f t="shared" si="23"/>
        <v>0.14499999999999999</v>
      </c>
      <c r="G52" s="39">
        <f t="shared" si="24"/>
        <v>0.11000000000000001</v>
      </c>
      <c r="H52" s="39">
        <f t="shared" si="25"/>
        <v>0.25</v>
      </c>
      <c r="I52" s="39">
        <f t="shared" si="26"/>
        <v>0.26500000000000001</v>
      </c>
      <c r="J52" s="39">
        <f t="shared" si="27"/>
        <v>0.12</v>
      </c>
      <c r="K52" s="39">
        <f t="shared" si="28"/>
        <v>0.11000000000000001</v>
      </c>
      <c r="L52" s="39">
        <f t="shared" si="29"/>
        <v>7.4999999999999997E-2</v>
      </c>
      <c r="M52" s="39">
        <f t="shared" si="30"/>
        <v>7.4999999999999997E-2</v>
      </c>
      <c r="N52" s="3">
        <v>4.0999999999999996</v>
      </c>
      <c r="O52" s="39">
        <f t="shared" si="31"/>
        <v>3.5365853658536589E-2</v>
      </c>
      <c r="P52" s="39">
        <f t="shared" si="20"/>
        <v>6.0975609756097567E-2</v>
      </c>
      <c r="Q52" s="39">
        <f t="shared" si="21"/>
        <v>2.9268292682926831E-2</v>
      </c>
      <c r="R52" s="39">
        <f t="shared" si="22"/>
        <v>1.8292682926829271E-2</v>
      </c>
    </row>
    <row r="53" spans="4:18" ht="15" x14ac:dyDescent="0.2">
      <c r="D53" s="20">
        <v>11</v>
      </c>
      <c r="E53" s="39" t="s">
        <v>122</v>
      </c>
      <c r="F53" s="39">
        <f t="shared" si="23"/>
        <v>18.25</v>
      </c>
      <c r="G53" s="39">
        <f t="shared" si="24"/>
        <v>13.25</v>
      </c>
      <c r="H53" s="39">
        <f t="shared" si="25"/>
        <v>30.65</v>
      </c>
      <c r="I53" s="39">
        <f t="shared" si="26"/>
        <v>24.2</v>
      </c>
      <c r="J53" s="39">
        <f t="shared" si="27"/>
        <v>17.05</v>
      </c>
      <c r="K53" s="39">
        <f t="shared" si="28"/>
        <v>14.3</v>
      </c>
      <c r="L53" s="39">
        <f t="shared" si="29"/>
        <v>12.1</v>
      </c>
      <c r="M53" s="39">
        <f t="shared" si="30"/>
        <v>11</v>
      </c>
      <c r="N53" s="3">
        <v>14.4</v>
      </c>
      <c r="O53" s="39">
        <f>MAX(F53:G53)/N53</f>
        <v>1.2673611111111112</v>
      </c>
      <c r="P53" s="39">
        <f t="shared" si="20"/>
        <v>2.1284722222222219</v>
      </c>
      <c r="Q53" s="39">
        <f t="shared" si="21"/>
        <v>1.1840277777777779</v>
      </c>
      <c r="R53" s="39">
        <f t="shared" si="22"/>
        <v>0.84027777777777768</v>
      </c>
    </row>
    <row r="54" spans="4:18" ht="15" x14ac:dyDescent="0.2">
      <c r="D54" s="20">
        <v>12</v>
      </c>
      <c r="E54" s="39" t="s">
        <v>123</v>
      </c>
      <c r="F54" s="39">
        <f t="shared" si="23"/>
        <v>0</v>
      </c>
      <c r="G54" s="39">
        <f t="shared" si="24"/>
        <v>2.8E-3</v>
      </c>
      <c r="H54" s="39">
        <f t="shared" si="25"/>
        <v>0</v>
      </c>
      <c r="I54" s="39">
        <f t="shared" si="26"/>
        <v>0</v>
      </c>
      <c r="J54" s="39">
        <f t="shared" si="27"/>
        <v>0</v>
      </c>
      <c r="K54" s="39">
        <f t="shared" si="28"/>
        <v>0</v>
      </c>
      <c r="L54" s="39">
        <f t="shared" si="29"/>
        <v>0</v>
      </c>
      <c r="M54" s="39">
        <f t="shared" si="30"/>
        <v>0</v>
      </c>
      <c r="N54" s="3">
        <v>0.19</v>
      </c>
      <c r="O54" s="39">
        <f t="shared" si="31"/>
        <v>1.4736842105263158E-2</v>
      </c>
      <c r="P54" s="39">
        <f t="shared" si="20"/>
        <v>1.4736842105263158E-2</v>
      </c>
      <c r="Q54" s="39">
        <f t="shared" si="21"/>
        <v>0</v>
      </c>
      <c r="R54" s="39">
        <f t="shared" si="22"/>
        <v>0</v>
      </c>
    </row>
    <row r="55" spans="4:18" ht="15" x14ac:dyDescent="0.2">
      <c r="D55" s="20">
        <v>13</v>
      </c>
      <c r="E55" s="39" t="s">
        <v>124</v>
      </c>
      <c r="F55" s="39">
        <f t="shared" si="23"/>
        <v>4.07E-2</v>
      </c>
      <c r="G55" s="39">
        <f t="shared" si="24"/>
        <v>3.8800000000000001E-2</v>
      </c>
      <c r="H55" s="39">
        <f t="shared" si="25"/>
        <v>4.9099999999999998E-2</v>
      </c>
      <c r="I55" s="39">
        <f t="shared" si="26"/>
        <v>5.2500000000000005E-2</v>
      </c>
      <c r="J55" s="39">
        <f t="shared" si="27"/>
        <v>0</v>
      </c>
      <c r="K55" s="39">
        <f t="shared" si="28"/>
        <v>0</v>
      </c>
      <c r="L55" s="39">
        <f t="shared" si="29"/>
        <v>0</v>
      </c>
      <c r="M55" s="39">
        <f t="shared" si="30"/>
        <v>0</v>
      </c>
      <c r="N55" s="3">
        <v>6.5</v>
      </c>
      <c r="O55" s="39">
        <f t="shared" si="31"/>
        <v>6.2615384615384616E-3</v>
      </c>
      <c r="P55" s="39">
        <f t="shared" si="20"/>
        <v>7.5538461538461532E-3</v>
      </c>
      <c r="Q55" s="39">
        <f t="shared" si="21"/>
        <v>0</v>
      </c>
      <c r="R55" s="39">
        <f t="shared" si="22"/>
        <v>0</v>
      </c>
    </row>
    <row r="56" spans="4:18" ht="15" x14ac:dyDescent="0.2">
      <c r="D56" s="20">
        <v>14</v>
      </c>
      <c r="E56" s="39" t="s">
        <v>125</v>
      </c>
      <c r="F56" s="39">
        <f t="shared" si="23"/>
        <v>1.9</v>
      </c>
      <c r="G56" s="39">
        <f t="shared" si="24"/>
        <v>2.145</v>
      </c>
      <c r="H56" s="39">
        <f t="shared" si="25"/>
        <v>1.61</v>
      </c>
      <c r="I56" s="39">
        <f t="shared" si="26"/>
        <v>1.1099999999999999</v>
      </c>
      <c r="J56" s="39">
        <f t="shared" si="27"/>
        <v>0.59000000000000008</v>
      </c>
      <c r="K56" s="39">
        <f t="shared" si="28"/>
        <v>0.52</v>
      </c>
      <c r="L56" s="39">
        <f t="shared" si="29"/>
        <v>0.33050000000000002</v>
      </c>
      <c r="M56" s="39">
        <f t="shared" si="30"/>
        <v>0.32350000000000001</v>
      </c>
      <c r="N56" s="3">
        <v>20</v>
      </c>
      <c r="O56" s="39">
        <f t="shared" si="31"/>
        <v>0.10725</v>
      </c>
      <c r="P56" s="39">
        <f t="shared" si="20"/>
        <v>0.10725</v>
      </c>
      <c r="Q56" s="39">
        <f t="shared" si="21"/>
        <v>2.9500000000000005E-2</v>
      </c>
      <c r="R56" s="39">
        <f t="shared" si="22"/>
        <v>1.6525000000000001E-2</v>
      </c>
    </row>
    <row r="57" spans="4:18" ht="15" x14ac:dyDescent="0.2">
      <c r="D57" s="20">
        <v>15</v>
      </c>
      <c r="E57" s="39" t="s">
        <v>126</v>
      </c>
      <c r="F57" s="39">
        <f t="shared" si="23"/>
        <v>0</v>
      </c>
      <c r="G57" s="39">
        <f t="shared" si="24"/>
        <v>0</v>
      </c>
      <c r="H57" s="39">
        <f t="shared" si="25"/>
        <v>0</v>
      </c>
      <c r="I57" s="39">
        <f t="shared" si="26"/>
        <v>0</v>
      </c>
      <c r="J57" s="39">
        <f t="shared" si="27"/>
        <v>0</v>
      </c>
      <c r="K57" s="39">
        <f t="shared" si="28"/>
        <v>0</v>
      </c>
      <c r="L57" s="39">
        <f t="shared" si="29"/>
        <v>0</v>
      </c>
      <c r="M57" s="39">
        <f t="shared" si="30"/>
        <v>0</v>
      </c>
      <c r="N57" s="3">
        <v>2.4</v>
      </c>
      <c r="O57" s="39">
        <f t="shared" si="31"/>
        <v>0</v>
      </c>
      <c r="P57" s="39">
        <f t="shared" si="20"/>
        <v>0</v>
      </c>
      <c r="Q57" s="39">
        <f t="shared" si="21"/>
        <v>0</v>
      </c>
      <c r="R57" s="39">
        <f t="shared" si="22"/>
        <v>0</v>
      </c>
    </row>
    <row r="58" spans="4:18" ht="15" x14ac:dyDescent="0.2">
      <c r="D58" s="20">
        <v>16</v>
      </c>
      <c r="E58" s="39" t="s">
        <v>127</v>
      </c>
      <c r="F58" s="39">
        <f t="shared" si="23"/>
        <v>0.1545</v>
      </c>
      <c r="G58" s="39">
        <f t="shared" si="24"/>
        <v>0.1835</v>
      </c>
      <c r="H58" s="39">
        <f t="shared" si="25"/>
        <v>0.24349999999999999</v>
      </c>
      <c r="I58" s="39">
        <f t="shared" si="26"/>
        <v>0.26749999999999996</v>
      </c>
      <c r="J58" s="39">
        <f t="shared" si="27"/>
        <v>7.85E-2</v>
      </c>
      <c r="K58" s="39">
        <f t="shared" si="28"/>
        <v>6.25E-2</v>
      </c>
      <c r="L58" s="39">
        <f t="shared" si="29"/>
        <v>0</v>
      </c>
      <c r="M58" s="39">
        <f t="shared" si="30"/>
        <v>0</v>
      </c>
      <c r="N58" s="3">
        <v>5.6</v>
      </c>
      <c r="O58" s="39">
        <f t="shared" si="31"/>
        <v>3.2767857142857147E-2</v>
      </c>
      <c r="P58" s="39">
        <f t="shared" si="20"/>
        <v>4.3482142857142858E-2</v>
      </c>
      <c r="Q58" s="39">
        <f t="shared" si="21"/>
        <v>1.4017857142857144E-2</v>
      </c>
      <c r="R58" s="39">
        <f t="shared" si="22"/>
        <v>0</v>
      </c>
    </row>
    <row r="59" spans="4:18" ht="15" x14ac:dyDescent="0.2">
      <c r="D59" s="20">
        <v>17</v>
      </c>
      <c r="E59" s="39" t="s">
        <v>1</v>
      </c>
      <c r="F59" s="39">
        <f t="shared" si="23"/>
        <v>151</v>
      </c>
      <c r="G59" s="39">
        <f t="shared" si="24"/>
        <v>0</v>
      </c>
      <c r="H59" s="39">
        <f t="shared" si="25"/>
        <v>0</v>
      </c>
      <c r="I59" s="39">
        <f t="shared" si="26"/>
        <v>0</v>
      </c>
      <c r="J59" s="39">
        <f t="shared" si="27"/>
        <v>0</v>
      </c>
      <c r="K59" s="39">
        <f t="shared" si="28"/>
        <v>0</v>
      </c>
      <c r="L59" s="39">
        <f t="shared" si="29"/>
        <v>0</v>
      </c>
      <c r="M59" s="39">
        <f t="shared" si="30"/>
        <v>0</v>
      </c>
      <c r="N59" s="3">
        <v>28</v>
      </c>
      <c r="O59" s="39">
        <f t="shared" si="31"/>
        <v>5.3928571428571432</v>
      </c>
      <c r="P59" s="39">
        <f t="shared" si="20"/>
        <v>0</v>
      </c>
      <c r="Q59" s="39">
        <f t="shared" si="21"/>
        <v>0</v>
      </c>
      <c r="R59" s="39">
        <f t="shared" si="22"/>
        <v>0</v>
      </c>
    </row>
    <row r="60" spans="4:18" ht="15" x14ac:dyDescent="0.2">
      <c r="D60" s="20">
        <v>18</v>
      </c>
      <c r="E60" s="39" t="s">
        <v>0</v>
      </c>
      <c r="F60" s="39">
        <f t="shared" si="23"/>
        <v>0</v>
      </c>
      <c r="G60" s="39">
        <f t="shared" si="24"/>
        <v>0</v>
      </c>
      <c r="H60" s="39">
        <f t="shared" si="25"/>
        <v>0</v>
      </c>
      <c r="I60" s="39">
        <f t="shared" si="26"/>
        <v>0</v>
      </c>
      <c r="J60" s="39">
        <f t="shared" si="27"/>
        <v>0</v>
      </c>
      <c r="K60" s="39">
        <f t="shared" si="28"/>
        <v>0</v>
      </c>
      <c r="L60" s="39">
        <f t="shared" si="29"/>
        <v>0</v>
      </c>
      <c r="M60" s="39">
        <f t="shared" si="30"/>
        <v>0</v>
      </c>
      <c r="N60" s="3">
        <v>170</v>
      </c>
      <c r="O60" s="39">
        <f t="shared" si="31"/>
        <v>0</v>
      </c>
      <c r="P60" s="39">
        <f t="shared" si="20"/>
        <v>0</v>
      </c>
      <c r="Q60" s="39">
        <f t="shared" si="21"/>
        <v>0</v>
      </c>
      <c r="R60" s="39">
        <f t="shared" si="22"/>
        <v>0</v>
      </c>
    </row>
    <row r="61" spans="4:18" ht="16" x14ac:dyDescent="0.2">
      <c r="E61" s="95" t="s">
        <v>99</v>
      </c>
      <c r="F61" s="97" t="s">
        <v>128</v>
      </c>
      <c r="G61" s="98"/>
      <c r="H61" s="98"/>
      <c r="I61" s="98"/>
      <c r="J61" s="98"/>
      <c r="K61" s="98"/>
      <c r="L61" s="98"/>
      <c r="M61" s="99"/>
      <c r="N61" s="59" t="s">
        <v>104</v>
      </c>
      <c r="O61" s="47" t="s">
        <v>105</v>
      </c>
      <c r="P61" s="48" t="s">
        <v>106</v>
      </c>
      <c r="Q61" s="48" t="s">
        <v>107</v>
      </c>
      <c r="R61" s="49" t="s">
        <v>108</v>
      </c>
    </row>
    <row r="62" spans="4:18" ht="15" x14ac:dyDescent="0.2">
      <c r="E62" s="96"/>
      <c r="F62" s="50">
        <v>50</v>
      </c>
      <c r="G62" s="51">
        <v>50</v>
      </c>
      <c r="H62" s="51">
        <v>50</v>
      </c>
      <c r="I62" s="51">
        <v>50</v>
      </c>
      <c r="J62" s="51">
        <v>50</v>
      </c>
      <c r="K62" s="51">
        <v>50</v>
      </c>
      <c r="L62" s="51">
        <v>50</v>
      </c>
      <c r="M62" s="52">
        <v>50</v>
      </c>
      <c r="N62" s="60" t="s">
        <v>113</v>
      </c>
      <c r="O62" s="47" t="s">
        <v>27</v>
      </c>
      <c r="P62" s="48" t="s">
        <v>27</v>
      </c>
      <c r="Q62" s="48" t="s">
        <v>27</v>
      </c>
      <c r="R62" s="49" t="s">
        <v>27</v>
      </c>
    </row>
    <row r="63" spans="4:18" ht="15" x14ac:dyDescent="0.2">
      <c r="D63" s="20">
        <v>1</v>
      </c>
      <c r="E63" s="39" t="s">
        <v>114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f>L3/$L$62</f>
        <v>0</v>
      </c>
      <c r="M63" s="39">
        <v>0</v>
      </c>
      <c r="N63" s="7">
        <v>5.7000000000000002E-2</v>
      </c>
      <c r="O63" s="39">
        <f>MAX(F63:G63)/N63</f>
        <v>0</v>
      </c>
      <c r="P63" s="39">
        <f>MAX(G63:H63)/N63</f>
        <v>0</v>
      </c>
      <c r="Q63" s="39">
        <f>MAX(J63:K63)/N63</f>
        <v>0</v>
      </c>
      <c r="R63" s="39">
        <f>MAX(L63:M63)/N63</f>
        <v>0</v>
      </c>
    </row>
    <row r="64" spans="4:18" ht="15" x14ac:dyDescent="0.2">
      <c r="D64" s="20">
        <v>2</v>
      </c>
      <c r="E64" s="39" t="s">
        <v>115</v>
      </c>
      <c r="F64" s="39">
        <f>F4/$F$62</f>
        <v>7.4200000000000002E-2</v>
      </c>
      <c r="G64" s="39">
        <f>G4/$G$62</f>
        <v>7.9600000000000004E-2</v>
      </c>
      <c r="H64" s="39">
        <f>H4/$H$62</f>
        <v>6.2E-2</v>
      </c>
      <c r="I64" s="39">
        <f>I4/$I$62</f>
        <v>0.08</v>
      </c>
      <c r="J64" s="39">
        <f>J4/$J$62</f>
        <v>2.7999999999999997E-2</v>
      </c>
      <c r="K64" s="39">
        <f>K4/$K$62</f>
        <v>2.7999999999999997E-2</v>
      </c>
      <c r="L64" s="39">
        <f>L4/$L$62</f>
        <v>0.09</v>
      </c>
      <c r="M64" s="39">
        <f>M4/$M$62</f>
        <v>1.9199999999999998E-2</v>
      </c>
      <c r="N64" s="7">
        <v>114.7</v>
      </c>
      <c r="O64" s="39">
        <f t="shared" ref="O64:O80" si="32">MAX(F64:G64)/N64</f>
        <v>6.9398430688753267E-4</v>
      </c>
      <c r="P64" s="39">
        <f t="shared" ref="P64:P80" si="33">MAX(G64:H64)/N64</f>
        <v>6.9398430688753267E-4</v>
      </c>
      <c r="Q64" s="39">
        <f t="shared" ref="Q64:Q80" si="34">MAX(J64:K64)/N64</f>
        <v>2.4411508282476022E-4</v>
      </c>
      <c r="R64" s="39">
        <f t="shared" ref="R64:R80" si="35">MAX(L64:M64)/N64</f>
        <v>7.8465562336530077E-4</v>
      </c>
    </row>
    <row r="65" spans="4:18" ht="15" x14ac:dyDescent="0.2">
      <c r="D65" s="20">
        <v>3</v>
      </c>
      <c r="E65" s="39" t="s">
        <v>116</v>
      </c>
      <c r="F65" s="39">
        <f t="shared" ref="F65:F80" si="36">F5/$F$62</f>
        <v>0.57999999999999996</v>
      </c>
      <c r="G65" s="39">
        <f t="shared" ref="G65:G80" si="37">G5/$G$62</f>
        <v>0.48</v>
      </c>
      <c r="H65" s="39">
        <f t="shared" ref="H65:H80" si="38">H5/$H$62</f>
        <v>0.7</v>
      </c>
      <c r="I65" s="39">
        <f t="shared" ref="I65:I80" si="39">I5/$I$62</f>
        <v>0.57999999999999996</v>
      </c>
      <c r="J65" s="39">
        <f t="shared" ref="J65:J80" si="40">J5/$J$62</f>
        <v>0</v>
      </c>
      <c r="K65" s="39">
        <f t="shared" ref="K65:K80" si="41">K5/$K$62</f>
        <v>0</v>
      </c>
      <c r="L65" s="39">
        <f t="shared" ref="L65:L80" si="42">L5/$L$62</f>
        <v>0</v>
      </c>
      <c r="M65" s="39">
        <f t="shared" ref="M65:M80" si="43">M5/$M$62</f>
        <v>0</v>
      </c>
      <c r="N65" s="6">
        <v>2900</v>
      </c>
      <c r="O65" s="39">
        <f t="shared" si="32"/>
        <v>1.9999999999999998E-4</v>
      </c>
      <c r="P65" s="39">
        <f t="shared" si="33"/>
        <v>2.4137931034482756E-4</v>
      </c>
      <c r="Q65" s="39">
        <f t="shared" si="34"/>
        <v>0</v>
      </c>
      <c r="R65" s="39">
        <f t="shared" si="35"/>
        <v>0</v>
      </c>
    </row>
    <row r="66" spans="4:18" ht="15" x14ac:dyDescent="0.2">
      <c r="D66" s="20">
        <v>4</v>
      </c>
      <c r="E66" s="39" t="s">
        <v>117</v>
      </c>
      <c r="F66" s="39">
        <f t="shared" si="36"/>
        <v>4.8399999999999999E-2</v>
      </c>
      <c r="G66" s="39">
        <f t="shared" si="37"/>
        <v>4.2199999999999994E-2</v>
      </c>
      <c r="H66" s="39">
        <f t="shared" si="38"/>
        <v>6.0199999999999997E-2</v>
      </c>
      <c r="I66" s="39">
        <f t="shared" si="39"/>
        <v>6.3399999999999998E-2</v>
      </c>
      <c r="J66" s="39">
        <f t="shared" si="40"/>
        <v>2.12E-2</v>
      </c>
      <c r="K66" s="39">
        <f t="shared" si="41"/>
        <v>1.6E-2</v>
      </c>
      <c r="L66" s="39">
        <f t="shared" si="42"/>
        <v>0</v>
      </c>
      <c r="M66" s="39">
        <f t="shared" si="43"/>
        <v>0</v>
      </c>
      <c r="N66" s="3">
        <v>1.06</v>
      </c>
      <c r="O66" s="39">
        <f t="shared" si="32"/>
        <v>4.5660377358490566E-2</v>
      </c>
      <c r="P66" s="39">
        <f t="shared" si="33"/>
        <v>5.6792452830188675E-2</v>
      </c>
      <c r="Q66" s="39">
        <f t="shared" si="34"/>
        <v>0.02</v>
      </c>
      <c r="R66" s="39">
        <f t="shared" si="35"/>
        <v>0</v>
      </c>
    </row>
    <row r="67" spans="4:18" ht="15" x14ac:dyDescent="0.2">
      <c r="D67" s="20">
        <v>5</v>
      </c>
      <c r="E67" s="39" t="s">
        <v>118</v>
      </c>
      <c r="F67" s="39">
        <f t="shared" si="36"/>
        <v>0.78</v>
      </c>
      <c r="G67" s="39">
        <f t="shared" si="37"/>
        <v>0.66599999999999993</v>
      </c>
      <c r="H67" s="39">
        <f t="shared" si="38"/>
        <v>0.34399999999999997</v>
      </c>
      <c r="I67" s="39">
        <f t="shared" si="39"/>
        <v>0.12</v>
      </c>
      <c r="J67" s="39">
        <f t="shared" si="40"/>
        <v>0.27200000000000002</v>
      </c>
      <c r="K67" s="39">
        <f t="shared" si="41"/>
        <v>0.54200000000000004</v>
      </c>
      <c r="L67" s="39">
        <f t="shared" si="42"/>
        <v>0.38200000000000001</v>
      </c>
      <c r="M67" s="39">
        <f t="shared" si="43"/>
        <v>0.43200000000000005</v>
      </c>
      <c r="N67" s="3">
        <v>6.3</v>
      </c>
      <c r="O67" s="39">
        <f t="shared" si="32"/>
        <v>0.12380952380952381</v>
      </c>
      <c r="P67" s="39">
        <f t="shared" si="33"/>
        <v>0.10571428571428571</v>
      </c>
      <c r="Q67" s="39">
        <f t="shared" si="34"/>
        <v>8.6031746031746043E-2</v>
      </c>
      <c r="R67" s="39">
        <f t="shared" si="35"/>
        <v>6.8571428571428575E-2</v>
      </c>
    </row>
    <row r="68" spans="4:18" ht="15" x14ac:dyDescent="0.2">
      <c r="D68" s="20">
        <v>6</v>
      </c>
      <c r="E68" s="39" t="s">
        <v>16</v>
      </c>
      <c r="F68" s="39">
        <f t="shared" si="36"/>
        <v>0.04</v>
      </c>
      <c r="G68" s="39">
        <f t="shared" si="37"/>
        <v>0</v>
      </c>
      <c r="H68" s="39">
        <f t="shared" si="38"/>
        <v>6.2E-2</v>
      </c>
      <c r="I68" s="39">
        <f t="shared" si="39"/>
        <v>5.2000000000000005E-2</v>
      </c>
      <c r="J68" s="39">
        <f t="shared" si="40"/>
        <v>0</v>
      </c>
      <c r="K68" s="39">
        <f t="shared" si="41"/>
        <v>0</v>
      </c>
      <c r="L68" s="39">
        <f t="shared" si="42"/>
        <v>0</v>
      </c>
      <c r="M68" s="39">
        <f t="shared" si="43"/>
        <v>0</v>
      </c>
      <c r="N68" s="3">
        <v>1650</v>
      </c>
      <c r="O68" s="39">
        <f t="shared" si="32"/>
        <v>2.4242424242424244E-5</v>
      </c>
      <c r="P68" s="39">
        <f t="shared" si="33"/>
        <v>3.7575757575757577E-5</v>
      </c>
      <c r="Q68" s="39">
        <f t="shared" si="34"/>
        <v>0</v>
      </c>
      <c r="R68" s="39">
        <f t="shared" si="35"/>
        <v>0</v>
      </c>
    </row>
    <row r="69" spans="4:18" ht="15" x14ac:dyDescent="0.2">
      <c r="D69" s="20">
        <v>7</v>
      </c>
      <c r="E69" s="39" t="s">
        <v>119</v>
      </c>
      <c r="F69" s="39">
        <f t="shared" si="36"/>
        <v>1.776</v>
      </c>
      <c r="G69" s="39">
        <f t="shared" si="37"/>
        <v>1.7</v>
      </c>
      <c r="H69" s="39">
        <f t="shared" si="38"/>
        <v>2.12</v>
      </c>
      <c r="I69" s="39">
        <f t="shared" si="39"/>
        <v>2.64</v>
      </c>
      <c r="J69" s="39">
        <f t="shared" si="40"/>
        <v>1.022</v>
      </c>
      <c r="K69" s="39">
        <f t="shared" si="41"/>
        <v>0.85400000000000009</v>
      </c>
      <c r="L69" s="39">
        <f t="shared" si="42"/>
        <v>0.47600000000000003</v>
      </c>
      <c r="M69" s="39">
        <f t="shared" si="43"/>
        <v>0.47799999999999998</v>
      </c>
      <c r="N69" s="3">
        <v>34</v>
      </c>
      <c r="O69" s="39">
        <f t="shared" si="32"/>
        <v>5.223529411764706E-2</v>
      </c>
      <c r="P69" s="39">
        <f t="shared" si="33"/>
        <v>6.235294117647059E-2</v>
      </c>
      <c r="Q69" s="39">
        <f t="shared" si="34"/>
        <v>3.0058823529411766E-2</v>
      </c>
      <c r="R69" s="39">
        <f t="shared" si="35"/>
        <v>1.4058823529411764E-2</v>
      </c>
    </row>
    <row r="70" spans="4:18" ht="15" x14ac:dyDescent="0.2">
      <c r="D70" s="20">
        <v>8</v>
      </c>
      <c r="E70" s="39" t="s">
        <v>120</v>
      </c>
      <c r="F70" s="39">
        <f t="shared" si="36"/>
        <v>4.8000000000000001E-2</v>
      </c>
      <c r="G70" s="39">
        <f t="shared" si="37"/>
        <v>4.2000000000000003E-2</v>
      </c>
      <c r="H70" s="39">
        <f t="shared" si="38"/>
        <v>0.1</v>
      </c>
      <c r="I70" s="39">
        <f t="shared" si="39"/>
        <v>0.1</v>
      </c>
      <c r="J70" s="39">
        <f t="shared" si="40"/>
        <v>4.2000000000000003E-2</v>
      </c>
      <c r="K70" s="39">
        <f t="shared" si="41"/>
        <v>0</v>
      </c>
      <c r="L70" s="39">
        <f t="shared" si="42"/>
        <v>0</v>
      </c>
      <c r="M70" s="39">
        <f t="shared" si="43"/>
        <v>0</v>
      </c>
      <c r="N70" s="3">
        <v>11900</v>
      </c>
      <c r="O70" s="39">
        <f t="shared" si="32"/>
        <v>4.0336134453781513E-6</v>
      </c>
      <c r="P70" s="39">
        <f t="shared" si="33"/>
        <v>8.4033613445378154E-6</v>
      </c>
      <c r="Q70" s="39">
        <f t="shared" si="34"/>
        <v>3.5294117647058825E-6</v>
      </c>
      <c r="R70" s="39">
        <f t="shared" si="35"/>
        <v>0</v>
      </c>
    </row>
    <row r="71" spans="4:18" ht="15" x14ac:dyDescent="0.2">
      <c r="D71" s="20">
        <v>9</v>
      </c>
      <c r="E71" s="39" t="s">
        <v>11</v>
      </c>
      <c r="F71" s="39">
        <f t="shared" si="36"/>
        <v>3.18</v>
      </c>
      <c r="G71" s="39">
        <f t="shared" si="37"/>
        <v>2.78</v>
      </c>
      <c r="H71" s="39">
        <f t="shared" si="38"/>
        <v>5.96</v>
      </c>
      <c r="I71" s="39">
        <f t="shared" si="39"/>
        <v>7.32</v>
      </c>
      <c r="J71" s="39">
        <f t="shared" si="40"/>
        <v>2.12</v>
      </c>
      <c r="K71" s="39">
        <f t="shared" si="41"/>
        <v>1.784</v>
      </c>
      <c r="L71" s="39">
        <f t="shared" si="42"/>
        <v>1.228</v>
      </c>
      <c r="M71" s="39">
        <f t="shared" si="43"/>
        <v>1.1599999999999999</v>
      </c>
      <c r="N71" s="3">
        <v>37</v>
      </c>
      <c r="O71" s="39">
        <f t="shared" si="32"/>
        <v>8.5945945945945956E-2</v>
      </c>
      <c r="P71" s="39">
        <f t="shared" si="33"/>
        <v>0.16108108108108107</v>
      </c>
      <c r="Q71" s="39">
        <f t="shared" si="34"/>
        <v>5.7297297297297302E-2</v>
      </c>
      <c r="R71" s="39">
        <f t="shared" si="35"/>
        <v>3.3189189189189186E-2</v>
      </c>
    </row>
    <row r="72" spans="4:18" ht="15" x14ac:dyDescent="0.2">
      <c r="D72" s="20">
        <v>10</v>
      </c>
      <c r="E72" s="39" t="s">
        <v>121</v>
      </c>
      <c r="F72" s="39">
        <f t="shared" si="36"/>
        <v>5.7999999999999996E-2</v>
      </c>
      <c r="G72" s="39">
        <f t="shared" si="37"/>
        <v>4.4000000000000004E-2</v>
      </c>
      <c r="H72" s="39">
        <f t="shared" si="38"/>
        <v>0.1</v>
      </c>
      <c r="I72" s="39">
        <f t="shared" si="39"/>
        <v>0.106</v>
      </c>
      <c r="J72" s="39">
        <f t="shared" si="40"/>
        <v>4.8000000000000001E-2</v>
      </c>
      <c r="K72" s="39">
        <f t="shared" si="41"/>
        <v>4.4000000000000004E-2</v>
      </c>
      <c r="L72" s="39">
        <f t="shared" si="42"/>
        <v>0.03</v>
      </c>
      <c r="M72" s="39">
        <f t="shared" si="43"/>
        <v>0.03</v>
      </c>
      <c r="N72" s="3">
        <v>4.0999999999999996</v>
      </c>
      <c r="O72" s="39">
        <f t="shared" si="32"/>
        <v>1.4146341463414635E-2</v>
      </c>
      <c r="P72" s="39">
        <f t="shared" si="33"/>
        <v>2.4390243902439029E-2</v>
      </c>
      <c r="Q72" s="39">
        <f t="shared" si="34"/>
        <v>1.1707317073170733E-2</v>
      </c>
      <c r="R72" s="39">
        <f t="shared" si="35"/>
        <v>7.3170731707317077E-3</v>
      </c>
    </row>
    <row r="73" spans="4:18" ht="15" x14ac:dyDescent="0.2">
      <c r="D73" s="20">
        <v>11</v>
      </c>
      <c r="E73" s="39" t="s">
        <v>122</v>
      </c>
      <c r="F73" s="39">
        <f t="shared" si="36"/>
        <v>7.3</v>
      </c>
      <c r="G73" s="39">
        <f t="shared" si="37"/>
        <v>5.3</v>
      </c>
      <c r="H73" s="39">
        <f t="shared" si="38"/>
        <v>12.26</v>
      </c>
      <c r="I73" s="39">
        <f t="shared" si="39"/>
        <v>9.68</v>
      </c>
      <c r="J73" s="39">
        <f t="shared" si="40"/>
        <v>6.82</v>
      </c>
      <c r="K73" s="39">
        <f t="shared" si="41"/>
        <v>5.72</v>
      </c>
      <c r="L73" s="39">
        <f t="shared" si="42"/>
        <v>4.84</v>
      </c>
      <c r="M73" s="39">
        <f t="shared" si="43"/>
        <v>4.4000000000000004</v>
      </c>
      <c r="N73" s="3">
        <v>14.4</v>
      </c>
      <c r="O73" s="39">
        <f t="shared" si="32"/>
        <v>0.50694444444444442</v>
      </c>
      <c r="P73" s="39">
        <f t="shared" si="33"/>
        <v>0.85138888888888886</v>
      </c>
      <c r="Q73" s="39">
        <f t="shared" si="34"/>
        <v>0.47361111111111109</v>
      </c>
      <c r="R73" s="39">
        <f t="shared" si="35"/>
        <v>0.33611111111111108</v>
      </c>
    </row>
    <row r="74" spans="4:18" ht="15" x14ac:dyDescent="0.2">
      <c r="D74" s="20">
        <v>12</v>
      </c>
      <c r="E74" s="39" t="s">
        <v>123</v>
      </c>
      <c r="F74" s="39">
        <f t="shared" si="36"/>
        <v>0</v>
      </c>
      <c r="G74" s="39">
        <f t="shared" si="37"/>
        <v>1.1200000000000001E-3</v>
      </c>
      <c r="H74" s="39">
        <f t="shared" si="38"/>
        <v>0</v>
      </c>
      <c r="I74" s="39">
        <f t="shared" si="39"/>
        <v>0</v>
      </c>
      <c r="J74" s="39">
        <f t="shared" si="40"/>
        <v>0</v>
      </c>
      <c r="K74" s="39">
        <f t="shared" si="41"/>
        <v>0</v>
      </c>
      <c r="L74" s="39">
        <f t="shared" si="42"/>
        <v>0</v>
      </c>
      <c r="M74" s="39">
        <f t="shared" si="43"/>
        <v>0</v>
      </c>
      <c r="N74" s="3">
        <v>0.19</v>
      </c>
      <c r="O74" s="39">
        <f t="shared" si="32"/>
        <v>5.8947368421052634E-3</v>
      </c>
      <c r="P74" s="39">
        <f t="shared" si="33"/>
        <v>5.8947368421052634E-3</v>
      </c>
      <c r="Q74" s="39">
        <f t="shared" si="34"/>
        <v>0</v>
      </c>
      <c r="R74" s="39">
        <f t="shared" si="35"/>
        <v>0</v>
      </c>
    </row>
    <row r="75" spans="4:18" ht="15" x14ac:dyDescent="0.2">
      <c r="D75" s="20">
        <v>13</v>
      </c>
      <c r="E75" s="39" t="s">
        <v>124</v>
      </c>
      <c r="F75" s="39">
        <f t="shared" si="36"/>
        <v>1.6279999999999999E-2</v>
      </c>
      <c r="G75" s="39">
        <f t="shared" si="37"/>
        <v>1.5520000000000001E-2</v>
      </c>
      <c r="H75" s="39">
        <f t="shared" si="38"/>
        <v>1.9640000000000001E-2</v>
      </c>
      <c r="I75" s="39">
        <f t="shared" si="39"/>
        <v>2.1000000000000001E-2</v>
      </c>
      <c r="J75" s="39">
        <f t="shared" si="40"/>
        <v>0</v>
      </c>
      <c r="K75" s="39">
        <f t="shared" si="41"/>
        <v>0</v>
      </c>
      <c r="L75" s="39">
        <f t="shared" si="42"/>
        <v>0</v>
      </c>
      <c r="M75" s="39">
        <f t="shared" si="43"/>
        <v>0</v>
      </c>
      <c r="N75" s="3">
        <v>6.5</v>
      </c>
      <c r="O75" s="39">
        <f t="shared" si="32"/>
        <v>2.5046153846153846E-3</v>
      </c>
      <c r="P75" s="39">
        <f t="shared" si="33"/>
        <v>3.0215384615384618E-3</v>
      </c>
      <c r="Q75" s="39">
        <f t="shared" si="34"/>
        <v>0</v>
      </c>
      <c r="R75" s="39">
        <f t="shared" si="35"/>
        <v>0</v>
      </c>
    </row>
    <row r="76" spans="4:18" ht="15" x14ac:dyDescent="0.2">
      <c r="D76" s="20">
        <v>14</v>
      </c>
      <c r="E76" s="39" t="s">
        <v>125</v>
      </c>
      <c r="F76" s="39">
        <f t="shared" si="36"/>
        <v>0.76</v>
      </c>
      <c r="G76" s="39">
        <f t="shared" si="37"/>
        <v>0.85799999999999998</v>
      </c>
      <c r="H76" s="39">
        <f t="shared" si="38"/>
        <v>0.64400000000000002</v>
      </c>
      <c r="I76" s="39">
        <f t="shared" si="39"/>
        <v>0.44400000000000001</v>
      </c>
      <c r="J76" s="39">
        <f t="shared" si="40"/>
        <v>0.23600000000000002</v>
      </c>
      <c r="K76" s="39">
        <f t="shared" si="41"/>
        <v>0.20800000000000002</v>
      </c>
      <c r="L76" s="39">
        <f t="shared" si="42"/>
        <v>0.13220000000000001</v>
      </c>
      <c r="M76" s="39">
        <f t="shared" si="43"/>
        <v>0.12939999999999999</v>
      </c>
      <c r="N76" s="3">
        <v>20</v>
      </c>
      <c r="O76" s="39">
        <f t="shared" si="32"/>
        <v>4.2900000000000001E-2</v>
      </c>
      <c r="P76" s="39">
        <f t="shared" si="33"/>
        <v>4.2900000000000001E-2</v>
      </c>
      <c r="Q76" s="39">
        <f t="shared" si="34"/>
        <v>1.1800000000000001E-2</v>
      </c>
      <c r="R76" s="39">
        <f t="shared" si="35"/>
        <v>6.6100000000000004E-3</v>
      </c>
    </row>
    <row r="77" spans="4:18" ht="15" x14ac:dyDescent="0.2">
      <c r="D77" s="20">
        <v>15</v>
      </c>
      <c r="E77" s="39" t="s">
        <v>126</v>
      </c>
      <c r="F77" s="39">
        <f t="shared" si="36"/>
        <v>0</v>
      </c>
      <c r="G77" s="39">
        <f t="shared" si="37"/>
        <v>0</v>
      </c>
      <c r="H77" s="39">
        <f t="shared" si="38"/>
        <v>0</v>
      </c>
      <c r="I77" s="39">
        <f t="shared" si="39"/>
        <v>0</v>
      </c>
      <c r="J77" s="39">
        <f t="shared" si="40"/>
        <v>0</v>
      </c>
      <c r="K77" s="39">
        <f t="shared" si="41"/>
        <v>0</v>
      </c>
      <c r="L77" s="39">
        <f t="shared" si="42"/>
        <v>0</v>
      </c>
      <c r="M77" s="39">
        <f t="shared" si="43"/>
        <v>0</v>
      </c>
      <c r="N77" s="3">
        <v>2.4</v>
      </c>
      <c r="O77" s="39">
        <f t="shared" si="32"/>
        <v>0</v>
      </c>
      <c r="P77" s="39">
        <f t="shared" si="33"/>
        <v>0</v>
      </c>
      <c r="Q77" s="39">
        <f t="shared" si="34"/>
        <v>0</v>
      </c>
      <c r="R77" s="39">
        <f t="shared" si="35"/>
        <v>0</v>
      </c>
    </row>
    <row r="78" spans="4:18" ht="15" x14ac:dyDescent="0.2">
      <c r="D78" s="20">
        <v>16</v>
      </c>
      <c r="E78" s="39" t="s">
        <v>127</v>
      </c>
      <c r="F78" s="39">
        <f t="shared" si="36"/>
        <v>6.1799999999999994E-2</v>
      </c>
      <c r="G78" s="39">
        <f t="shared" si="37"/>
        <v>7.3399999999999993E-2</v>
      </c>
      <c r="H78" s="39">
        <f t="shared" si="38"/>
        <v>9.74E-2</v>
      </c>
      <c r="I78" s="39">
        <f t="shared" si="39"/>
        <v>0.107</v>
      </c>
      <c r="J78" s="39">
        <f t="shared" si="40"/>
        <v>3.1400000000000004E-2</v>
      </c>
      <c r="K78" s="39">
        <f t="shared" si="41"/>
        <v>2.5000000000000001E-2</v>
      </c>
      <c r="L78" s="39">
        <f t="shared" si="42"/>
        <v>0</v>
      </c>
      <c r="M78" s="39">
        <f t="shared" si="43"/>
        <v>0</v>
      </c>
      <c r="N78" s="3">
        <v>5.6</v>
      </c>
      <c r="O78" s="39">
        <f t="shared" si="32"/>
        <v>1.3107142857142857E-2</v>
      </c>
      <c r="P78" s="39">
        <f t="shared" si="33"/>
        <v>1.7392857142857144E-2</v>
      </c>
      <c r="Q78" s="39">
        <f t="shared" si="34"/>
        <v>5.6071428571428583E-3</v>
      </c>
      <c r="R78" s="39">
        <f t="shared" si="35"/>
        <v>0</v>
      </c>
    </row>
    <row r="79" spans="4:18" ht="15" x14ac:dyDescent="0.2">
      <c r="D79" s="20">
        <v>17</v>
      </c>
      <c r="E79" s="39" t="s">
        <v>1</v>
      </c>
      <c r="F79" s="39">
        <f t="shared" si="36"/>
        <v>60.4</v>
      </c>
      <c r="G79" s="39">
        <f t="shared" si="37"/>
        <v>0</v>
      </c>
      <c r="H79" s="39">
        <f t="shared" si="38"/>
        <v>0</v>
      </c>
      <c r="I79" s="39">
        <f t="shared" si="39"/>
        <v>0</v>
      </c>
      <c r="J79" s="39">
        <f t="shared" si="40"/>
        <v>0</v>
      </c>
      <c r="K79" s="39">
        <f t="shared" si="41"/>
        <v>0</v>
      </c>
      <c r="L79" s="39">
        <f t="shared" si="42"/>
        <v>0</v>
      </c>
      <c r="M79" s="39">
        <f t="shared" si="43"/>
        <v>0</v>
      </c>
      <c r="N79" s="3">
        <v>28</v>
      </c>
      <c r="O79" s="39">
        <f t="shared" si="32"/>
        <v>2.157142857142857</v>
      </c>
      <c r="P79" s="39">
        <f t="shared" si="33"/>
        <v>0</v>
      </c>
      <c r="Q79" s="39">
        <f t="shared" si="34"/>
        <v>0</v>
      </c>
      <c r="R79" s="39">
        <f t="shared" si="35"/>
        <v>0</v>
      </c>
    </row>
    <row r="80" spans="4:18" ht="15" x14ac:dyDescent="0.2">
      <c r="D80" s="20">
        <v>18</v>
      </c>
      <c r="E80" s="39" t="s">
        <v>0</v>
      </c>
      <c r="F80" s="39">
        <f t="shared" si="36"/>
        <v>0</v>
      </c>
      <c r="G80" s="39">
        <f t="shared" si="37"/>
        <v>0</v>
      </c>
      <c r="H80" s="39">
        <f t="shared" si="38"/>
        <v>0</v>
      </c>
      <c r="I80" s="39">
        <f t="shared" si="39"/>
        <v>0</v>
      </c>
      <c r="J80" s="39">
        <f t="shared" si="40"/>
        <v>0</v>
      </c>
      <c r="K80" s="39">
        <f t="shared" si="41"/>
        <v>0</v>
      </c>
      <c r="L80" s="39">
        <f t="shared" si="42"/>
        <v>0</v>
      </c>
      <c r="M80" s="39">
        <f t="shared" si="43"/>
        <v>0</v>
      </c>
      <c r="N80" s="3">
        <v>170</v>
      </c>
      <c r="O80" s="39">
        <f t="shared" si="32"/>
        <v>0</v>
      </c>
      <c r="P80" s="39">
        <f t="shared" si="33"/>
        <v>0</v>
      </c>
      <c r="Q80" s="39">
        <f t="shared" si="34"/>
        <v>0</v>
      </c>
      <c r="R80" s="39">
        <f t="shared" si="35"/>
        <v>0</v>
      </c>
    </row>
    <row r="81" spans="5:18" ht="16" x14ac:dyDescent="0.2">
      <c r="E81" s="95" t="s">
        <v>99</v>
      </c>
      <c r="F81" s="97" t="s">
        <v>128</v>
      </c>
      <c r="G81" s="98"/>
      <c r="H81" s="98"/>
      <c r="I81" s="98"/>
      <c r="J81" s="98"/>
      <c r="K81" s="98"/>
      <c r="L81" s="98"/>
      <c r="M81" s="99"/>
      <c r="N81" s="59" t="s">
        <v>104</v>
      </c>
      <c r="O81" s="47" t="s">
        <v>105</v>
      </c>
      <c r="P81" s="48" t="s">
        <v>106</v>
      </c>
      <c r="Q81" s="48" t="s">
        <v>107</v>
      </c>
      <c r="R81" s="49" t="s">
        <v>108</v>
      </c>
    </row>
    <row r="82" spans="5:18" ht="15" x14ac:dyDescent="0.2">
      <c r="E82" s="96"/>
      <c r="F82" s="50">
        <v>60</v>
      </c>
      <c r="G82" s="51">
        <v>60</v>
      </c>
      <c r="H82" s="51">
        <v>60</v>
      </c>
      <c r="I82" s="51">
        <v>60</v>
      </c>
      <c r="J82" s="51">
        <v>60</v>
      </c>
      <c r="K82" s="51">
        <v>60</v>
      </c>
      <c r="L82" s="51">
        <v>60</v>
      </c>
      <c r="M82" s="52">
        <v>60</v>
      </c>
      <c r="N82" s="60" t="s">
        <v>113</v>
      </c>
      <c r="O82" s="47" t="s">
        <v>27</v>
      </c>
      <c r="P82" s="48" t="s">
        <v>27</v>
      </c>
      <c r="Q82" s="48" t="s">
        <v>27</v>
      </c>
      <c r="R82" s="49" t="s">
        <v>27</v>
      </c>
    </row>
    <row r="83" spans="5:18" ht="15" x14ac:dyDescent="0.2">
      <c r="E83" s="39" t="s">
        <v>114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f>L3/60</f>
        <v>0</v>
      </c>
      <c r="M83" s="39">
        <v>0</v>
      </c>
      <c r="N83" s="7">
        <v>5.7000000000000002E-2</v>
      </c>
      <c r="O83" s="39">
        <f>MAX(F83:G83)/N83</f>
        <v>0</v>
      </c>
      <c r="P83" s="39">
        <f>MAX(G83:H83)/N83</f>
        <v>0</v>
      </c>
      <c r="Q83" s="39">
        <f>MAX(J83:K83)/N83</f>
        <v>0</v>
      </c>
      <c r="R83" s="39">
        <f>MAX(L83:M83)/N83</f>
        <v>0</v>
      </c>
    </row>
    <row r="84" spans="5:18" ht="15" x14ac:dyDescent="0.2">
      <c r="E84" s="39" t="s">
        <v>115</v>
      </c>
      <c r="F84" s="39">
        <f t="shared" ref="F84:M99" si="44">F4/60</f>
        <v>6.183333333333333E-2</v>
      </c>
      <c r="G84" s="39">
        <f t="shared" si="44"/>
        <v>6.6333333333333327E-2</v>
      </c>
      <c r="H84" s="39">
        <f t="shared" si="44"/>
        <v>5.1666666666666666E-2</v>
      </c>
      <c r="I84" s="39">
        <f t="shared" si="44"/>
        <v>6.6666666666666666E-2</v>
      </c>
      <c r="J84" s="39">
        <f t="shared" si="44"/>
        <v>2.3333333333333331E-2</v>
      </c>
      <c r="K84" s="39">
        <f t="shared" si="44"/>
        <v>2.3333333333333331E-2</v>
      </c>
      <c r="L84" s="39">
        <f t="shared" si="44"/>
        <v>7.4999999999999997E-2</v>
      </c>
      <c r="M84" s="39">
        <f>M4/60</f>
        <v>1.6E-2</v>
      </c>
      <c r="N84" s="7">
        <v>114.7</v>
      </c>
      <c r="O84" s="39">
        <f t="shared" ref="O84:O100" si="45">MAX(F84:G84)/N84</f>
        <v>5.7832025573961048E-4</v>
      </c>
      <c r="P84" s="39">
        <f t="shared" ref="P84:P100" si="46">MAX(G84:H84)/N84</f>
        <v>5.7832025573961048E-4</v>
      </c>
      <c r="Q84" s="39">
        <f t="shared" ref="Q84:Q100" si="47">MAX(J84:K84)/N84</f>
        <v>2.0342923568730017E-4</v>
      </c>
      <c r="R84" s="39">
        <f t="shared" ref="R84:R100" si="48">MAX(L84:M84)/N84</f>
        <v>6.5387968613775057E-4</v>
      </c>
    </row>
    <row r="85" spans="5:18" ht="15" x14ac:dyDescent="0.2">
      <c r="E85" s="39" t="s">
        <v>116</v>
      </c>
      <c r="F85" s="39">
        <f t="shared" si="44"/>
        <v>0.48333333333333334</v>
      </c>
      <c r="G85" s="39">
        <f t="shared" si="44"/>
        <v>0.4</v>
      </c>
      <c r="H85" s="39">
        <f t="shared" si="44"/>
        <v>0.58333333333333337</v>
      </c>
      <c r="I85" s="39">
        <f t="shared" si="44"/>
        <v>0.48333333333333334</v>
      </c>
      <c r="J85" s="39">
        <f t="shared" si="44"/>
        <v>0</v>
      </c>
      <c r="K85" s="39">
        <f t="shared" si="44"/>
        <v>0</v>
      </c>
      <c r="L85" s="39">
        <f t="shared" si="44"/>
        <v>0</v>
      </c>
      <c r="M85" s="39">
        <f t="shared" si="44"/>
        <v>0</v>
      </c>
      <c r="N85" s="6">
        <v>2900</v>
      </c>
      <c r="O85" s="39">
        <f t="shared" si="45"/>
        <v>1.6666666666666666E-4</v>
      </c>
      <c r="P85" s="39">
        <f t="shared" si="46"/>
        <v>2.0114942528735632E-4</v>
      </c>
      <c r="Q85" s="39">
        <f t="shared" si="47"/>
        <v>0</v>
      </c>
      <c r="R85" s="39">
        <f t="shared" si="48"/>
        <v>0</v>
      </c>
    </row>
    <row r="86" spans="5:18" ht="15" x14ac:dyDescent="0.2">
      <c r="E86" s="39" t="s">
        <v>117</v>
      </c>
      <c r="F86" s="39">
        <f t="shared" si="44"/>
        <v>4.0333333333333332E-2</v>
      </c>
      <c r="G86" s="39">
        <f t="shared" si="44"/>
        <v>3.5166666666666666E-2</v>
      </c>
      <c r="H86" s="39">
        <f t="shared" si="44"/>
        <v>5.0166666666666665E-2</v>
      </c>
      <c r="I86" s="39">
        <f t="shared" si="44"/>
        <v>5.2833333333333329E-2</v>
      </c>
      <c r="J86" s="39">
        <f t="shared" si="44"/>
        <v>1.7666666666666667E-2</v>
      </c>
      <c r="K86" s="39">
        <f t="shared" si="44"/>
        <v>1.3333333333333334E-2</v>
      </c>
      <c r="L86" s="39">
        <f t="shared" si="44"/>
        <v>0</v>
      </c>
      <c r="M86" s="39">
        <f t="shared" si="44"/>
        <v>0</v>
      </c>
      <c r="N86" s="3">
        <v>1.06</v>
      </c>
      <c r="O86" s="39">
        <f t="shared" si="45"/>
        <v>3.8050314465408804E-2</v>
      </c>
      <c r="P86" s="39">
        <f t="shared" si="46"/>
        <v>4.7327044025157229E-2</v>
      </c>
      <c r="Q86" s="39">
        <f t="shared" si="47"/>
        <v>1.6666666666666666E-2</v>
      </c>
      <c r="R86" s="39">
        <f t="shared" si="48"/>
        <v>0</v>
      </c>
    </row>
    <row r="87" spans="5:18" ht="15" x14ac:dyDescent="0.2">
      <c r="E87" s="39" t="s">
        <v>118</v>
      </c>
      <c r="F87" s="39">
        <f t="shared" si="44"/>
        <v>0.65</v>
      </c>
      <c r="G87" s="39">
        <f t="shared" si="44"/>
        <v>0.55499999999999994</v>
      </c>
      <c r="H87" s="39">
        <f t="shared" si="44"/>
        <v>0.28666666666666668</v>
      </c>
      <c r="I87" s="39">
        <f t="shared" si="44"/>
        <v>0.1</v>
      </c>
      <c r="J87" s="39">
        <f t="shared" si="44"/>
        <v>0.22666666666666666</v>
      </c>
      <c r="K87" s="39">
        <f t="shared" si="44"/>
        <v>0.45166666666666672</v>
      </c>
      <c r="L87" s="39">
        <f t="shared" si="44"/>
        <v>0.31833333333333336</v>
      </c>
      <c r="M87" s="39">
        <f t="shared" si="44"/>
        <v>0.36000000000000004</v>
      </c>
      <c r="N87" s="3">
        <v>6.3</v>
      </c>
      <c r="O87" s="39">
        <f t="shared" si="45"/>
        <v>0.10317460317460318</v>
      </c>
      <c r="P87" s="39">
        <f t="shared" si="46"/>
        <v>8.8095238095238088E-2</v>
      </c>
      <c r="Q87" s="39">
        <f t="shared" si="47"/>
        <v>7.1693121693121697E-2</v>
      </c>
      <c r="R87" s="39">
        <f t="shared" si="48"/>
        <v>5.7142857142857148E-2</v>
      </c>
    </row>
    <row r="88" spans="5:18" ht="15" x14ac:dyDescent="0.2">
      <c r="E88" s="39" t="s">
        <v>16</v>
      </c>
      <c r="F88" s="39">
        <f t="shared" si="44"/>
        <v>3.3333333333333333E-2</v>
      </c>
      <c r="G88" s="39">
        <f t="shared" si="44"/>
        <v>0</v>
      </c>
      <c r="H88" s="39">
        <f t="shared" si="44"/>
        <v>5.1666666666666666E-2</v>
      </c>
      <c r="I88" s="39">
        <f t="shared" si="44"/>
        <v>4.3333333333333335E-2</v>
      </c>
      <c r="J88" s="39">
        <f t="shared" si="44"/>
        <v>0</v>
      </c>
      <c r="K88" s="39">
        <f t="shared" si="44"/>
        <v>0</v>
      </c>
      <c r="L88" s="39">
        <f t="shared" si="44"/>
        <v>0</v>
      </c>
      <c r="M88" s="39">
        <f t="shared" si="44"/>
        <v>0</v>
      </c>
      <c r="N88" s="3">
        <v>1650</v>
      </c>
      <c r="O88" s="39">
        <f t="shared" si="45"/>
        <v>2.0202020202020203E-5</v>
      </c>
      <c r="P88" s="39">
        <f t="shared" si="46"/>
        <v>3.1313131313131311E-5</v>
      </c>
      <c r="Q88" s="39">
        <f t="shared" si="47"/>
        <v>0</v>
      </c>
      <c r="R88" s="39">
        <f t="shared" si="48"/>
        <v>0</v>
      </c>
    </row>
    <row r="89" spans="5:18" ht="15" x14ac:dyDescent="0.2">
      <c r="E89" s="39" t="s">
        <v>119</v>
      </c>
      <c r="F89" s="39">
        <f t="shared" si="44"/>
        <v>1.48</v>
      </c>
      <c r="G89" s="39">
        <f t="shared" si="44"/>
        <v>1.4166666666666667</v>
      </c>
      <c r="H89" s="39">
        <f t="shared" si="44"/>
        <v>1.7666666666666666</v>
      </c>
      <c r="I89" s="39">
        <f t="shared" si="44"/>
        <v>2.2000000000000002</v>
      </c>
      <c r="J89" s="39">
        <f t="shared" si="44"/>
        <v>0.85166666666666668</v>
      </c>
      <c r="K89" s="39">
        <f t="shared" si="44"/>
        <v>0.71166666666666667</v>
      </c>
      <c r="L89" s="39">
        <f t="shared" si="44"/>
        <v>0.39666666666666667</v>
      </c>
      <c r="M89" s="39">
        <f t="shared" si="44"/>
        <v>0.39833333333333332</v>
      </c>
      <c r="N89" s="3">
        <v>34</v>
      </c>
      <c r="O89" s="39">
        <f t="shared" si="45"/>
        <v>4.3529411764705879E-2</v>
      </c>
      <c r="P89" s="39">
        <f t="shared" si="46"/>
        <v>5.1960784313725486E-2</v>
      </c>
      <c r="Q89" s="39">
        <f t="shared" si="47"/>
        <v>2.5049019607843139E-2</v>
      </c>
      <c r="R89" s="39">
        <f t="shared" si="48"/>
        <v>1.1715686274509803E-2</v>
      </c>
    </row>
    <row r="90" spans="5:18" ht="15" x14ac:dyDescent="0.2">
      <c r="E90" s="39" t="s">
        <v>120</v>
      </c>
      <c r="F90" s="39">
        <f t="shared" si="44"/>
        <v>0.04</v>
      </c>
      <c r="G90" s="39">
        <f t="shared" si="44"/>
        <v>3.5000000000000003E-2</v>
      </c>
      <c r="H90" s="39">
        <f t="shared" si="44"/>
        <v>8.3333333333333329E-2</v>
      </c>
      <c r="I90" s="39">
        <f t="shared" si="44"/>
        <v>8.3333333333333329E-2</v>
      </c>
      <c r="J90" s="39">
        <f t="shared" si="44"/>
        <v>3.5000000000000003E-2</v>
      </c>
      <c r="K90" s="39">
        <f t="shared" si="44"/>
        <v>0</v>
      </c>
      <c r="L90" s="39">
        <f t="shared" si="44"/>
        <v>0</v>
      </c>
      <c r="M90" s="39">
        <f t="shared" si="44"/>
        <v>0</v>
      </c>
      <c r="N90" s="3">
        <v>11900</v>
      </c>
      <c r="O90" s="39">
        <f t="shared" si="45"/>
        <v>3.3613445378151261E-6</v>
      </c>
      <c r="P90" s="39">
        <f t="shared" si="46"/>
        <v>7.0028011204481786E-6</v>
      </c>
      <c r="Q90" s="39">
        <f t="shared" si="47"/>
        <v>2.9411764705882355E-6</v>
      </c>
      <c r="R90" s="39">
        <f t="shared" si="48"/>
        <v>0</v>
      </c>
    </row>
    <row r="91" spans="5:18" ht="15" x14ac:dyDescent="0.2">
      <c r="E91" s="39" t="s">
        <v>11</v>
      </c>
      <c r="F91" s="39">
        <f t="shared" si="44"/>
        <v>2.65</v>
      </c>
      <c r="G91" s="39">
        <f t="shared" si="44"/>
        <v>2.3166666666666669</v>
      </c>
      <c r="H91" s="39">
        <f t="shared" si="44"/>
        <v>4.9666666666666668</v>
      </c>
      <c r="I91" s="39">
        <f t="shared" si="44"/>
        <v>6.1</v>
      </c>
      <c r="J91" s="39">
        <f t="shared" si="44"/>
        <v>1.7666666666666666</v>
      </c>
      <c r="K91" s="39">
        <f t="shared" si="44"/>
        <v>1.4866666666666668</v>
      </c>
      <c r="L91" s="39">
        <f t="shared" si="44"/>
        <v>1.0233333333333332</v>
      </c>
      <c r="M91" s="39">
        <f t="shared" si="44"/>
        <v>0.96666666666666667</v>
      </c>
      <c r="N91" s="3">
        <v>37</v>
      </c>
      <c r="O91" s="39">
        <f t="shared" si="45"/>
        <v>7.1621621621621626E-2</v>
      </c>
      <c r="P91" s="39">
        <f t="shared" si="46"/>
        <v>0.13423423423423425</v>
      </c>
      <c r="Q91" s="39">
        <f t="shared" si="47"/>
        <v>4.7747747747747746E-2</v>
      </c>
      <c r="R91" s="39">
        <f t="shared" si="48"/>
        <v>2.7657657657657653E-2</v>
      </c>
    </row>
    <row r="92" spans="5:18" ht="15" x14ac:dyDescent="0.2">
      <c r="E92" s="39" t="s">
        <v>121</v>
      </c>
      <c r="F92" s="39">
        <f t="shared" si="44"/>
        <v>4.8333333333333332E-2</v>
      </c>
      <c r="G92" s="39">
        <f t="shared" si="44"/>
        <v>3.6666666666666667E-2</v>
      </c>
      <c r="H92" s="39">
        <f t="shared" si="44"/>
        <v>8.3333333333333329E-2</v>
      </c>
      <c r="I92" s="39">
        <f t="shared" si="44"/>
        <v>8.8333333333333333E-2</v>
      </c>
      <c r="J92" s="39">
        <f t="shared" si="44"/>
        <v>0.04</v>
      </c>
      <c r="K92" s="39">
        <f t="shared" si="44"/>
        <v>3.6666666666666667E-2</v>
      </c>
      <c r="L92" s="39">
        <f t="shared" si="44"/>
        <v>2.5000000000000001E-2</v>
      </c>
      <c r="M92" s="39">
        <f t="shared" si="44"/>
        <v>2.5000000000000001E-2</v>
      </c>
      <c r="N92" s="3">
        <v>4.0999999999999996</v>
      </c>
      <c r="O92" s="39">
        <f t="shared" si="45"/>
        <v>1.1788617886178862E-2</v>
      </c>
      <c r="P92" s="39">
        <f t="shared" si="46"/>
        <v>2.032520325203252E-2</v>
      </c>
      <c r="Q92" s="39">
        <f t="shared" si="47"/>
        <v>9.7560975609756115E-3</v>
      </c>
      <c r="R92" s="39">
        <f t="shared" si="48"/>
        <v>6.0975609756097572E-3</v>
      </c>
    </row>
    <row r="93" spans="5:18" ht="15" x14ac:dyDescent="0.2">
      <c r="E93" s="39" t="s">
        <v>122</v>
      </c>
      <c r="F93" s="39">
        <f t="shared" si="44"/>
        <v>6.083333333333333</v>
      </c>
      <c r="G93" s="39">
        <f t="shared" si="44"/>
        <v>4.416666666666667</v>
      </c>
      <c r="H93" s="39">
        <f t="shared" si="44"/>
        <v>10.216666666666667</v>
      </c>
      <c r="I93" s="39">
        <f t="shared" si="44"/>
        <v>8.0666666666666664</v>
      </c>
      <c r="J93" s="39">
        <f t="shared" si="44"/>
        <v>5.6833333333333336</v>
      </c>
      <c r="K93" s="39">
        <f t="shared" si="44"/>
        <v>4.7666666666666666</v>
      </c>
      <c r="L93" s="39">
        <f t="shared" si="44"/>
        <v>4.0333333333333332</v>
      </c>
      <c r="M93" s="39">
        <f t="shared" si="44"/>
        <v>3.6666666666666665</v>
      </c>
      <c r="N93" s="3">
        <v>14.4</v>
      </c>
      <c r="O93" s="39">
        <f t="shared" si="45"/>
        <v>0.42245370370370366</v>
      </c>
      <c r="P93" s="39">
        <f t="shared" si="46"/>
        <v>0.7094907407407407</v>
      </c>
      <c r="Q93" s="39">
        <f t="shared" si="47"/>
        <v>0.39467592592592593</v>
      </c>
      <c r="R93" s="39">
        <f t="shared" si="48"/>
        <v>0.28009259259259256</v>
      </c>
    </row>
    <row r="94" spans="5:18" ht="15" x14ac:dyDescent="0.2">
      <c r="E94" s="39" t="s">
        <v>123</v>
      </c>
      <c r="F94" s="39">
        <f t="shared" si="44"/>
        <v>0</v>
      </c>
      <c r="G94" s="39">
        <f t="shared" si="44"/>
        <v>9.3333333333333332E-4</v>
      </c>
      <c r="H94" s="39">
        <f t="shared" si="44"/>
        <v>0</v>
      </c>
      <c r="I94" s="39">
        <f t="shared" si="44"/>
        <v>0</v>
      </c>
      <c r="J94" s="39">
        <f t="shared" si="44"/>
        <v>0</v>
      </c>
      <c r="K94" s="39">
        <f t="shared" si="44"/>
        <v>0</v>
      </c>
      <c r="L94" s="39">
        <f t="shared" si="44"/>
        <v>0</v>
      </c>
      <c r="M94" s="39">
        <f t="shared" si="44"/>
        <v>0</v>
      </c>
      <c r="N94" s="3">
        <v>0.19</v>
      </c>
      <c r="O94" s="39">
        <f t="shared" si="45"/>
        <v>4.9122807017543861E-3</v>
      </c>
      <c r="P94" s="39">
        <f t="shared" si="46"/>
        <v>4.9122807017543861E-3</v>
      </c>
      <c r="Q94" s="39">
        <f t="shared" si="47"/>
        <v>0</v>
      </c>
      <c r="R94" s="39">
        <f t="shared" si="48"/>
        <v>0</v>
      </c>
    </row>
    <row r="95" spans="5:18" ht="15" x14ac:dyDescent="0.2">
      <c r="E95" s="39" t="s">
        <v>124</v>
      </c>
      <c r="F95" s="39">
        <f t="shared" si="44"/>
        <v>1.3566666666666666E-2</v>
      </c>
      <c r="G95" s="39">
        <f t="shared" si="44"/>
        <v>1.2933333333333333E-2</v>
      </c>
      <c r="H95" s="39">
        <f t="shared" si="44"/>
        <v>1.6366666666666665E-2</v>
      </c>
      <c r="I95" s="39">
        <f t="shared" si="44"/>
        <v>1.7500000000000002E-2</v>
      </c>
      <c r="J95" s="39">
        <f t="shared" si="44"/>
        <v>0</v>
      </c>
      <c r="K95" s="39">
        <f t="shared" si="44"/>
        <v>0</v>
      </c>
      <c r="L95" s="39">
        <f t="shared" si="44"/>
        <v>0</v>
      </c>
      <c r="M95" s="39">
        <f t="shared" si="44"/>
        <v>0</v>
      </c>
      <c r="N95" s="3">
        <v>6.5</v>
      </c>
      <c r="O95" s="39">
        <f t="shared" si="45"/>
        <v>2.0871794871794871E-3</v>
      </c>
      <c r="P95" s="39">
        <f t="shared" si="46"/>
        <v>2.5179487179487177E-3</v>
      </c>
      <c r="Q95" s="39">
        <f t="shared" si="47"/>
        <v>0</v>
      </c>
      <c r="R95" s="39">
        <f t="shared" si="48"/>
        <v>0</v>
      </c>
    </row>
    <row r="96" spans="5:18" ht="15" x14ac:dyDescent="0.2">
      <c r="E96" s="39" t="s">
        <v>125</v>
      </c>
      <c r="F96" s="39">
        <f t="shared" si="44"/>
        <v>0.6333333333333333</v>
      </c>
      <c r="G96" s="39">
        <f t="shared" si="44"/>
        <v>0.71499999999999997</v>
      </c>
      <c r="H96" s="39">
        <f t="shared" si="44"/>
        <v>0.53666666666666674</v>
      </c>
      <c r="I96" s="39">
        <f t="shared" si="44"/>
        <v>0.37</v>
      </c>
      <c r="J96" s="39">
        <f t="shared" si="44"/>
        <v>0.19666666666666668</v>
      </c>
      <c r="K96" s="39">
        <f t="shared" si="44"/>
        <v>0.17333333333333334</v>
      </c>
      <c r="L96" s="39">
        <f t="shared" si="44"/>
        <v>0.11016666666666668</v>
      </c>
      <c r="M96" s="39">
        <f t="shared" si="44"/>
        <v>0.10783333333333332</v>
      </c>
      <c r="N96" s="3">
        <v>20</v>
      </c>
      <c r="O96" s="39">
        <f t="shared" si="45"/>
        <v>3.5749999999999997E-2</v>
      </c>
      <c r="P96" s="39">
        <f t="shared" si="46"/>
        <v>3.5749999999999997E-2</v>
      </c>
      <c r="Q96" s="39">
        <f t="shared" si="47"/>
        <v>9.8333333333333345E-3</v>
      </c>
      <c r="R96" s="39">
        <f t="shared" si="48"/>
        <v>5.5083333333333338E-3</v>
      </c>
    </row>
    <row r="97" spans="5:18" ht="15" x14ac:dyDescent="0.2">
      <c r="E97" s="39" t="s">
        <v>126</v>
      </c>
      <c r="F97" s="39">
        <f t="shared" si="44"/>
        <v>0</v>
      </c>
      <c r="G97" s="39">
        <f t="shared" si="44"/>
        <v>0</v>
      </c>
      <c r="H97" s="39">
        <f t="shared" si="44"/>
        <v>0</v>
      </c>
      <c r="I97" s="39">
        <f t="shared" si="44"/>
        <v>0</v>
      </c>
      <c r="J97" s="39">
        <f t="shared" si="44"/>
        <v>0</v>
      </c>
      <c r="K97" s="39">
        <f t="shared" si="44"/>
        <v>0</v>
      </c>
      <c r="L97" s="39">
        <f t="shared" si="44"/>
        <v>0</v>
      </c>
      <c r="M97" s="39">
        <f t="shared" si="44"/>
        <v>0</v>
      </c>
      <c r="N97" s="3">
        <v>2.4</v>
      </c>
      <c r="O97" s="39">
        <f t="shared" si="45"/>
        <v>0</v>
      </c>
      <c r="P97" s="39">
        <f t="shared" si="46"/>
        <v>0</v>
      </c>
      <c r="Q97" s="39">
        <f t="shared" si="47"/>
        <v>0</v>
      </c>
      <c r="R97" s="39">
        <f t="shared" si="48"/>
        <v>0</v>
      </c>
    </row>
    <row r="98" spans="5:18" ht="15" x14ac:dyDescent="0.2">
      <c r="E98" s="39" t="s">
        <v>127</v>
      </c>
      <c r="F98" s="39">
        <f t="shared" si="44"/>
        <v>5.1499999999999997E-2</v>
      </c>
      <c r="G98" s="39">
        <f t="shared" si="44"/>
        <v>6.1166666666666668E-2</v>
      </c>
      <c r="H98" s="39">
        <f t="shared" si="44"/>
        <v>8.1166666666666665E-2</v>
      </c>
      <c r="I98" s="39">
        <f t="shared" si="44"/>
        <v>8.9166666666666658E-2</v>
      </c>
      <c r="J98" s="39">
        <f t="shared" si="44"/>
        <v>2.6166666666666668E-2</v>
      </c>
      <c r="K98" s="39">
        <f t="shared" si="44"/>
        <v>2.0833333333333332E-2</v>
      </c>
      <c r="L98" s="39">
        <f t="shared" si="44"/>
        <v>0</v>
      </c>
      <c r="M98" s="39">
        <f t="shared" si="44"/>
        <v>0</v>
      </c>
      <c r="N98" s="3">
        <v>5.6</v>
      </c>
      <c r="O98" s="39">
        <f t="shared" si="45"/>
        <v>1.0922619047619049E-2</v>
      </c>
      <c r="P98" s="39">
        <f t="shared" si="46"/>
        <v>1.449404761904762E-2</v>
      </c>
      <c r="Q98" s="39">
        <f t="shared" si="47"/>
        <v>4.6726190476190478E-3</v>
      </c>
      <c r="R98" s="39">
        <f t="shared" si="48"/>
        <v>0</v>
      </c>
    </row>
    <row r="99" spans="5:18" ht="15" x14ac:dyDescent="0.2">
      <c r="E99" s="39" t="s">
        <v>1</v>
      </c>
      <c r="F99" s="39">
        <f t="shared" si="44"/>
        <v>50.333333333333336</v>
      </c>
      <c r="G99" s="39">
        <f t="shared" si="44"/>
        <v>0</v>
      </c>
      <c r="H99" s="39">
        <f t="shared" si="44"/>
        <v>0</v>
      </c>
      <c r="I99" s="39">
        <f t="shared" si="44"/>
        <v>0</v>
      </c>
      <c r="J99" s="39">
        <f t="shared" si="44"/>
        <v>0</v>
      </c>
      <c r="K99" s="39">
        <f t="shared" si="44"/>
        <v>0</v>
      </c>
      <c r="L99" s="39">
        <f t="shared" si="44"/>
        <v>0</v>
      </c>
      <c r="M99" s="39">
        <f t="shared" si="44"/>
        <v>0</v>
      </c>
      <c r="N99" s="3">
        <v>28</v>
      </c>
      <c r="O99" s="39">
        <f t="shared" si="45"/>
        <v>1.7976190476190477</v>
      </c>
      <c r="P99" s="39">
        <f t="shared" si="46"/>
        <v>0</v>
      </c>
      <c r="Q99" s="39">
        <f t="shared" si="47"/>
        <v>0</v>
      </c>
      <c r="R99" s="39">
        <f t="shared" si="48"/>
        <v>0</v>
      </c>
    </row>
    <row r="100" spans="5:18" ht="15" x14ac:dyDescent="0.2">
      <c r="E100" s="39" t="s">
        <v>0</v>
      </c>
      <c r="F100" s="39">
        <f t="shared" ref="F100:M100" si="49">F20/60</f>
        <v>0</v>
      </c>
      <c r="G100" s="39">
        <f t="shared" si="49"/>
        <v>0</v>
      </c>
      <c r="H100" s="39">
        <f t="shared" si="49"/>
        <v>0</v>
      </c>
      <c r="I100" s="39">
        <f t="shared" si="49"/>
        <v>0</v>
      </c>
      <c r="J100" s="39">
        <f t="shared" si="49"/>
        <v>0</v>
      </c>
      <c r="K100" s="39">
        <f t="shared" si="49"/>
        <v>0</v>
      </c>
      <c r="L100" s="39">
        <f t="shared" si="49"/>
        <v>0</v>
      </c>
      <c r="M100" s="39">
        <f t="shared" si="49"/>
        <v>0</v>
      </c>
      <c r="N100" s="3">
        <v>170</v>
      </c>
      <c r="O100" s="39">
        <f t="shared" si="45"/>
        <v>0</v>
      </c>
      <c r="P100" s="39">
        <f t="shared" si="46"/>
        <v>0</v>
      </c>
      <c r="Q100" s="39">
        <f t="shared" si="47"/>
        <v>0</v>
      </c>
      <c r="R100" s="39">
        <f t="shared" si="48"/>
        <v>0</v>
      </c>
    </row>
    <row r="101" spans="5:18" ht="16" x14ac:dyDescent="0.2">
      <c r="E101" s="95" t="s">
        <v>99</v>
      </c>
      <c r="F101" s="97" t="s">
        <v>128</v>
      </c>
      <c r="G101" s="98"/>
      <c r="H101" s="98"/>
      <c r="I101" s="98"/>
      <c r="J101" s="98"/>
      <c r="K101" s="98"/>
      <c r="L101" s="98"/>
      <c r="M101" s="98"/>
      <c r="N101" s="59" t="s">
        <v>104</v>
      </c>
      <c r="O101" s="47" t="s">
        <v>105</v>
      </c>
      <c r="P101" s="48" t="s">
        <v>106</v>
      </c>
      <c r="Q101" s="48" t="s">
        <v>107</v>
      </c>
      <c r="R101" s="49" t="s">
        <v>108</v>
      </c>
    </row>
    <row r="102" spans="5:18" ht="15" x14ac:dyDescent="0.2">
      <c r="E102" s="96"/>
      <c r="F102" s="51">
        <v>70</v>
      </c>
      <c r="G102" s="51">
        <v>70</v>
      </c>
      <c r="H102" s="51">
        <v>70</v>
      </c>
      <c r="I102" s="51">
        <v>70</v>
      </c>
      <c r="J102" s="51">
        <v>70</v>
      </c>
      <c r="K102" s="51">
        <v>70</v>
      </c>
      <c r="L102" s="51">
        <v>70</v>
      </c>
      <c r="M102" s="51">
        <v>70</v>
      </c>
      <c r="N102" s="60" t="s">
        <v>113</v>
      </c>
      <c r="O102" s="47" t="s">
        <v>27</v>
      </c>
      <c r="P102" s="48" t="s">
        <v>27</v>
      </c>
      <c r="Q102" s="48" t="s">
        <v>27</v>
      </c>
      <c r="R102" s="49" t="s">
        <v>27</v>
      </c>
    </row>
    <row r="103" spans="5:18" ht="15" x14ac:dyDescent="0.2">
      <c r="E103" s="39" t="s">
        <v>114</v>
      </c>
      <c r="F103" s="39">
        <v>0</v>
      </c>
      <c r="G103" s="39">
        <v>0</v>
      </c>
      <c r="H103" s="39">
        <v>0</v>
      </c>
      <c r="I103" s="39">
        <v>0</v>
      </c>
      <c r="J103" s="39">
        <v>0</v>
      </c>
      <c r="K103" s="39">
        <v>0</v>
      </c>
      <c r="L103" s="39">
        <f>L3/70</f>
        <v>0</v>
      </c>
      <c r="M103" s="39">
        <v>0</v>
      </c>
      <c r="N103" s="7">
        <v>5.7000000000000002E-2</v>
      </c>
      <c r="O103" s="39">
        <f>MAX(F103:G103)/N103</f>
        <v>0</v>
      </c>
      <c r="P103" s="39">
        <f>MAX(G103:H103)/N103</f>
        <v>0</v>
      </c>
      <c r="Q103" s="39">
        <f>MAX(J103:K103)/N103</f>
        <v>0</v>
      </c>
      <c r="R103" s="39">
        <f>MAX(L103:M103)/N103</f>
        <v>0</v>
      </c>
    </row>
    <row r="104" spans="5:18" ht="15" x14ac:dyDescent="0.2">
      <c r="E104" s="39" t="s">
        <v>115</v>
      </c>
      <c r="F104" s="39">
        <f t="shared" ref="F104:M119" si="50">F4/70</f>
        <v>5.2999999999999999E-2</v>
      </c>
      <c r="G104" s="39">
        <f t="shared" si="50"/>
        <v>5.6857142857142856E-2</v>
      </c>
      <c r="H104" s="39">
        <f t="shared" si="50"/>
        <v>4.4285714285714289E-2</v>
      </c>
      <c r="I104" s="39">
        <f t="shared" si="50"/>
        <v>5.7142857142857141E-2</v>
      </c>
      <c r="J104" s="39">
        <f t="shared" si="50"/>
        <v>0.02</v>
      </c>
      <c r="K104" s="39">
        <f t="shared" si="50"/>
        <v>0.02</v>
      </c>
      <c r="L104" s="39">
        <f t="shared" si="50"/>
        <v>6.4285714285714279E-2</v>
      </c>
      <c r="M104" s="39">
        <f>M4/70</f>
        <v>1.3714285714285714E-2</v>
      </c>
      <c r="N104" s="7">
        <v>114.7</v>
      </c>
      <c r="O104" s="39">
        <f t="shared" ref="O104:O120" si="51">MAX(F104:G104)/N104</f>
        <v>4.9570307634823764E-4</v>
      </c>
      <c r="P104" s="39">
        <f t="shared" ref="P104:P120" si="52">MAX(G104:H104)/N104</f>
        <v>4.9570307634823764E-4</v>
      </c>
      <c r="Q104" s="39">
        <f t="shared" ref="Q104:Q120" si="53">MAX(J104:K104)/N104</f>
        <v>1.7436791630340019E-4</v>
      </c>
      <c r="R104" s="39">
        <f t="shared" ref="R104:R120" si="54">MAX(L104:M104)/N104</f>
        <v>5.604683024037862E-4</v>
      </c>
    </row>
    <row r="105" spans="5:18" ht="15" x14ac:dyDescent="0.2">
      <c r="E105" s="39" t="s">
        <v>116</v>
      </c>
      <c r="F105" s="39">
        <f t="shared" si="50"/>
        <v>0.41428571428571431</v>
      </c>
      <c r="G105" s="39">
        <f t="shared" si="50"/>
        <v>0.34285714285714286</v>
      </c>
      <c r="H105" s="39">
        <f t="shared" si="50"/>
        <v>0.5</v>
      </c>
      <c r="I105" s="39">
        <f t="shared" si="50"/>
        <v>0.41428571428571431</v>
      </c>
      <c r="J105" s="39">
        <f t="shared" si="50"/>
        <v>0</v>
      </c>
      <c r="K105" s="39">
        <f t="shared" si="50"/>
        <v>0</v>
      </c>
      <c r="L105" s="39">
        <f t="shared" si="50"/>
        <v>0</v>
      </c>
      <c r="M105" s="39">
        <f t="shared" si="50"/>
        <v>0</v>
      </c>
      <c r="N105" s="6">
        <v>2900</v>
      </c>
      <c r="O105" s="39">
        <f t="shared" si="51"/>
        <v>1.4285714285714287E-4</v>
      </c>
      <c r="P105" s="39">
        <f t="shared" si="52"/>
        <v>1.7241379310344826E-4</v>
      </c>
      <c r="Q105" s="39">
        <f t="shared" si="53"/>
        <v>0</v>
      </c>
      <c r="R105" s="39">
        <f t="shared" si="54"/>
        <v>0</v>
      </c>
    </row>
    <row r="106" spans="5:18" ht="15" x14ac:dyDescent="0.2">
      <c r="E106" s="39" t="s">
        <v>117</v>
      </c>
      <c r="F106" s="39">
        <f t="shared" si="50"/>
        <v>3.4571428571428572E-2</v>
      </c>
      <c r="G106" s="39">
        <f t="shared" si="50"/>
        <v>3.0142857142857141E-2</v>
      </c>
      <c r="H106" s="39">
        <f t="shared" si="50"/>
        <v>4.2999999999999997E-2</v>
      </c>
      <c r="I106" s="39">
        <f t="shared" si="50"/>
        <v>4.5285714285714283E-2</v>
      </c>
      <c r="J106" s="39">
        <f t="shared" si="50"/>
        <v>1.5142857142857144E-2</v>
      </c>
      <c r="K106" s="39">
        <f t="shared" si="50"/>
        <v>1.1428571428571429E-2</v>
      </c>
      <c r="L106" s="39">
        <f t="shared" si="50"/>
        <v>0</v>
      </c>
      <c r="M106" s="39">
        <f t="shared" si="50"/>
        <v>0</v>
      </c>
      <c r="N106" s="3">
        <v>1.06</v>
      </c>
      <c r="O106" s="39">
        <f t="shared" si="51"/>
        <v>3.2614555256064687E-2</v>
      </c>
      <c r="P106" s="39">
        <f t="shared" si="52"/>
        <v>4.0566037735849055E-2</v>
      </c>
      <c r="Q106" s="39">
        <f t="shared" si="53"/>
        <v>1.4285714285714285E-2</v>
      </c>
      <c r="R106" s="39">
        <f t="shared" si="54"/>
        <v>0</v>
      </c>
    </row>
    <row r="107" spans="5:18" ht="15" x14ac:dyDescent="0.2">
      <c r="E107" s="39" t="s">
        <v>118</v>
      </c>
      <c r="F107" s="39">
        <f t="shared" si="50"/>
        <v>0.55714285714285716</v>
      </c>
      <c r="G107" s="39">
        <f t="shared" si="50"/>
        <v>0.4757142857142857</v>
      </c>
      <c r="H107" s="39">
        <f t="shared" si="50"/>
        <v>0.24571428571428569</v>
      </c>
      <c r="I107" s="39">
        <f t="shared" si="50"/>
        <v>8.5714285714285715E-2</v>
      </c>
      <c r="J107" s="39">
        <f t="shared" si="50"/>
        <v>0.19428571428571428</v>
      </c>
      <c r="K107" s="39">
        <f t="shared" si="50"/>
        <v>0.38714285714285718</v>
      </c>
      <c r="L107" s="39">
        <f t="shared" si="50"/>
        <v>0.27285714285714285</v>
      </c>
      <c r="M107" s="39">
        <f t="shared" si="50"/>
        <v>0.30857142857142861</v>
      </c>
      <c r="N107" s="3">
        <v>6.3</v>
      </c>
      <c r="O107" s="39">
        <f t="shared" si="51"/>
        <v>8.8435374149659865E-2</v>
      </c>
      <c r="P107" s="39">
        <f t="shared" si="52"/>
        <v>7.5510204081632656E-2</v>
      </c>
      <c r="Q107" s="39">
        <f t="shared" si="53"/>
        <v>6.1451247165532887E-2</v>
      </c>
      <c r="R107" s="39">
        <f t="shared" si="54"/>
        <v>4.8979591836734698E-2</v>
      </c>
    </row>
    <row r="108" spans="5:18" ht="15" x14ac:dyDescent="0.2">
      <c r="E108" s="39" t="s">
        <v>16</v>
      </c>
      <c r="F108" s="39">
        <f t="shared" si="50"/>
        <v>2.8571428571428571E-2</v>
      </c>
      <c r="G108" s="39">
        <f t="shared" si="50"/>
        <v>0</v>
      </c>
      <c r="H108" s="39">
        <f t="shared" si="50"/>
        <v>4.4285714285714289E-2</v>
      </c>
      <c r="I108" s="39">
        <f t="shared" si="50"/>
        <v>3.7142857142857144E-2</v>
      </c>
      <c r="J108" s="39">
        <f t="shared" si="50"/>
        <v>0</v>
      </c>
      <c r="K108" s="39">
        <f t="shared" si="50"/>
        <v>0</v>
      </c>
      <c r="L108" s="39">
        <f t="shared" si="50"/>
        <v>0</v>
      </c>
      <c r="M108" s="39">
        <f t="shared" si="50"/>
        <v>0</v>
      </c>
      <c r="N108" s="3">
        <v>1650</v>
      </c>
      <c r="O108" s="39">
        <f t="shared" si="51"/>
        <v>1.7316017316017315E-5</v>
      </c>
      <c r="P108" s="39">
        <f t="shared" si="52"/>
        <v>2.6839826839826843E-5</v>
      </c>
      <c r="Q108" s="39">
        <f t="shared" si="53"/>
        <v>0</v>
      </c>
      <c r="R108" s="39">
        <f t="shared" si="54"/>
        <v>0</v>
      </c>
    </row>
    <row r="109" spans="5:18" ht="15" x14ac:dyDescent="0.2">
      <c r="E109" s="39" t="s">
        <v>119</v>
      </c>
      <c r="F109" s="39">
        <f t="shared" si="50"/>
        <v>1.2685714285714285</v>
      </c>
      <c r="G109" s="39">
        <f t="shared" si="50"/>
        <v>1.2142857142857142</v>
      </c>
      <c r="H109" s="39">
        <f t="shared" si="50"/>
        <v>1.5142857142857142</v>
      </c>
      <c r="I109" s="39">
        <f t="shared" si="50"/>
        <v>1.8857142857142857</v>
      </c>
      <c r="J109" s="39">
        <f t="shared" si="50"/>
        <v>0.73</v>
      </c>
      <c r="K109" s="39">
        <f t="shared" si="50"/>
        <v>0.61</v>
      </c>
      <c r="L109" s="39">
        <f t="shared" si="50"/>
        <v>0.34</v>
      </c>
      <c r="M109" s="39">
        <f t="shared" si="50"/>
        <v>0.34142857142857141</v>
      </c>
      <c r="N109" s="3">
        <v>34</v>
      </c>
      <c r="O109" s="39">
        <f t="shared" si="51"/>
        <v>3.7310924369747894E-2</v>
      </c>
      <c r="P109" s="39">
        <f t="shared" si="52"/>
        <v>4.4537815126050422E-2</v>
      </c>
      <c r="Q109" s="39">
        <f t="shared" si="53"/>
        <v>2.1470588235294116E-2</v>
      </c>
      <c r="R109" s="39">
        <f t="shared" si="54"/>
        <v>1.0042016806722689E-2</v>
      </c>
    </row>
    <row r="110" spans="5:18" ht="15" x14ac:dyDescent="0.2">
      <c r="E110" s="39" t="s">
        <v>120</v>
      </c>
      <c r="F110" s="39">
        <f t="shared" si="50"/>
        <v>3.4285714285714287E-2</v>
      </c>
      <c r="G110" s="39">
        <f t="shared" si="50"/>
        <v>3.0000000000000002E-2</v>
      </c>
      <c r="H110" s="39">
        <f t="shared" si="50"/>
        <v>7.1428571428571425E-2</v>
      </c>
      <c r="I110" s="39">
        <f t="shared" si="50"/>
        <v>7.1428571428571425E-2</v>
      </c>
      <c r="J110" s="39">
        <f t="shared" si="50"/>
        <v>3.0000000000000002E-2</v>
      </c>
      <c r="K110" s="39">
        <f t="shared" si="50"/>
        <v>0</v>
      </c>
      <c r="L110" s="39">
        <f t="shared" si="50"/>
        <v>0</v>
      </c>
      <c r="M110" s="39">
        <f t="shared" si="50"/>
        <v>0</v>
      </c>
      <c r="N110" s="3">
        <v>11900</v>
      </c>
      <c r="O110" s="39">
        <f t="shared" si="51"/>
        <v>2.8811524609843937E-6</v>
      </c>
      <c r="P110" s="39">
        <f t="shared" si="52"/>
        <v>6.0024009603841536E-6</v>
      </c>
      <c r="Q110" s="39">
        <f t="shared" si="53"/>
        <v>2.5210084033613449E-6</v>
      </c>
      <c r="R110" s="39">
        <f t="shared" si="54"/>
        <v>0</v>
      </c>
    </row>
    <row r="111" spans="5:18" ht="15" x14ac:dyDescent="0.2">
      <c r="E111" s="39" t="s">
        <v>11</v>
      </c>
      <c r="F111" s="39">
        <f t="shared" si="50"/>
        <v>2.2714285714285714</v>
      </c>
      <c r="G111" s="39">
        <f t="shared" si="50"/>
        <v>1.9857142857142858</v>
      </c>
      <c r="H111" s="39">
        <f t="shared" si="50"/>
        <v>4.2571428571428571</v>
      </c>
      <c r="I111" s="39">
        <f t="shared" si="50"/>
        <v>5.2285714285714286</v>
      </c>
      <c r="J111" s="39">
        <f t="shared" si="50"/>
        <v>1.5142857142857142</v>
      </c>
      <c r="K111" s="39">
        <f t="shared" si="50"/>
        <v>1.2742857142857142</v>
      </c>
      <c r="L111" s="39">
        <f t="shared" si="50"/>
        <v>0.87714285714285711</v>
      </c>
      <c r="M111" s="39">
        <f t="shared" si="50"/>
        <v>0.82857142857142863</v>
      </c>
      <c r="N111" s="3">
        <v>37</v>
      </c>
      <c r="O111" s="39">
        <f t="shared" si="51"/>
        <v>6.1389961389961389E-2</v>
      </c>
      <c r="P111" s="39">
        <f t="shared" si="52"/>
        <v>0.11505791505791506</v>
      </c>
      <c r="Q111" s="39">
        <f t="shared" si="53"/>
        <v>4.0926640926640924E-2</v>
      </c>
      <c r="R111" s="39">
        <f t="shared" si="54"/>
        <v>2.3706563706563707E-2</v>
      </c>
    </row>
    <row r="112" spans="5:18" ht="15" x14ac:dyDescent="0.2">
      <c r="E112" s="39" t="s">
        <v>121</v>
      </c>
      <c r="F112" s="39">
        <f t="shared" si="50"/>
        <v>4.1428571428571426E-2</v>
      </c>
      <c r="G112" s="39">
        <f t="shared" si="50"/>
        <v>3.1428571428571431E-2</v>
      </c>
      <c r="H112" s="39">
        <f t="shared" si="50"/>
        <v>7.1428571428571425E-2</v>
      </c>
      <c r="I112" s="39">
        <f t="shared" si="50"/>
        <v>7.5714285714285706E-2</v>
      </c>
      <c r="J112" s="39">
        <f t="shared" si="50"/>
        <v>3.4285714285714287E-2</v>
      </c>
      <c r="K112" s="39">
        <f t="shared" si="50"/>
        <v>3.1428571428571431E-2</v>
      </c>
      <c r="L112" s="39">
        <f t="shared" si="50"/>
        <v>2.1428571428571429E-2</v>
      </c>
      <c r="M112" s="39">
        <f t="shared" si="50"/>
        <v>2.1428571428571429E-2</v>
      </c>
      <c r="N112" s="3">
        <v>4.0999999999999996</v>
      </c>
      <c r="O112" s="39">
        <f t="shared" si="51"/>
        <v>1.0104529616724738E-2</v>
      </c>
      <c r="P112" s="39">
        <f t="shared" si="52"/>
        <v>1.7421602787456445E-2</v>
      </c>
      <c r="Q112" s="39">
        <f t="shared" si="53"/>
        <v>8.3623693379790958E-3</v>
      </c>
      <c r="R112" s="39">
        <f t="shared" si="54"/>
        <v>5.2264808362369342E-3</v>
      </c>
    </row>
    <row r="113" spans="5:18" ht="15" x14ac:dyDescent="0.2">
      <c r="E113" s="39" t="s">
        <v>122</v>
      </c>
      <c r="F113" s="39">
        <f t="shared" si="50"/>
        <v>5.2142857142857144</v>
      </c>
      <c r="G113" s="39">
        <f t="shared" si="50"/>
        <v>3.7857142857142856</v>
      </c>
      <c r="H113" s="39">
        <f t="shared" si="50"/>
        <v>8.757142857142858</v>
      </c>
      <c r="I113" s="39">
        <f t="shared" si="50"/>
        <v>6.9142857142857146</v>
      </c>
      <c r="J113" s="39">
        <f t="shared" si="50"/>
        <v>4.871428571428571</v>
      </c>
      <c r="K113" s="39">
        <f t="shared" si="50"/>
        <v>4.0857142857142854</v>
      </c>
      <c r="L113" s="39">
        <f t="shared" si="50"/>
        <v>3.4571428571428573</v>
      </c>
      <c r="M113" s="39">
        <f t="shared" si="50"/>
        <v>3.1428571428571428</v>
      </c>
      <c r="N113" s="3">
        <v>14.4</v>
      </c>
      <c r="O113" s="39">
        <f t="shared" si="51"/>
        <v>0.36210317460317459</v>
      </c>
      <c r="P113" s="39">
        <f t="shared" si="52"/>
        <v>0.60813492063492069</v>
      </c>
      <c r="Q113" s="39">
        <f t="shared" si="53"/>
        <v>0.33829365079365076</v>
      </c>
      <c r="R113" s="39">
        <f t="shared" si="54"/>
        <v>0.24007936507936509</v>
      </c>
    </row>
    <row r="114" spans="5:18" ht="15" x14ac:dyDescent="0.2">
      <c r="E114" s="39" t="s">
        <v>123</v>
      </c>
      <c r="F114" s="39">
        <f t="shared" si="50"/>
        <v>0</v>
      </c>
      <c r="G114" s="39">
        <f t="shared" si="50"/>
        <v>8.0000000000000004E-4</v>
      </c>
      <c r="H114" s="39">
        <f t="shared" si="50"/>
        <v>0</v>
      </c>
      <c r="I114" s="39">
        <f t="shared" si="50"/>
        <v>0</v>
      </c>
      <c r="J114" s="39">
        <f t="shared" si="50"/>
        <v>0</v>
      </c>
      <c r="K114" s="39">
        <f t="shared" si="50"/>
        <v>0</v>
      </c>
      <c r="L114" s="39">
        <f t="shared" si="50"/>
        <v>0</v>
      </c>
      <c r="M114" s="39">
        <f t="shared" si="50"/>
        <v>0</v>
      </c>
      <c r="N114" s="3">
        <v>0.19</v>
      </c>
      <c r="O114" s="39">
        <f t="shared" si="51"/>
        <v>4.2105263157894736E-3</v>
      </c>
      <c r="P114" s="39">
        <f t="shared" si="52"/>
        <v>4.2105263157894736E-3</v>
      </c>
      <c r="Q114" s="39">
        <f t="shared" si="53"/>
        <v>0</v>
      </c>
      <c r="R114" s="39">
        <f t="shared" si="54"/>
        <v>0</v>
      </c>
    </row>
    <row r="115" spans="5:18" ht="15" x14ac:dyDescent="0.2">
      <c r="E115" s="39" t="s">
        <v>124</v>
      </c>
      <c r="F115" s="39">
        <f t="shared" si="50"/>
        <v>1.1628571428571427E-2</v>
      </c>
      <c r="G115" s="39">
        <f t="shared" si="50"/>
        <v>1.1085714285714286E-2</v>
      </c>
      <c r="H115" s="39">
        <f t="shared" si="50"/>
        <v>1.4028571428571428E-2</v>
      </c>
      <c r="I115" s="39">
        <f t="shared" si="50"/>
        <v>1.5000000000000001E-2</v>
      </c>
      <c r="J115" s="39">
        <f t="shared" si="50"/>
        <v>0</v>
      </c>
      <c r="K115" s="39">
        <f t="shared" si="50"/>
        <v>0</v>
      </c>
      <c r="L115" s="39">
        <f t="shared" si="50"/>
        <v>0</v>
      </c>
      <c r="M115" s="39">
        <f t="shared" si="50"/>
        <v>0</v>
      </c>
      <c r="N115" s="3">
        <v>6.5</v>
      </c>
      <c r="O115" s="39">
        <f t="shared" si="51"/>
        <v>1.7890109890109887E-3</v>
      </c>
      <c r="P115" s="39">
        <f t="shared" si="52"/>
        <v>2.1582417582417584E-3</v>
      </c>
      <c r="Q115" s="39">
        <f t="shared" si="53"/>
        <v>0</v>
      </c>
      <c r="R115" s="39">
        <f t="shared" si="54"/>
        <v>0</v>
      </c>
    </row>
    <row r="116" spans="5:18" ht="15" x14ac:dyDescent="0.2">
      <c r="E116" s="39" t="s">
        <v>125</v>
      </c>
      <c r="F116" s="39">
        <f t="shared" si="50"/>
        <v>0.54285714285714282</v>
      </c>
      <c r="G116" s="39">
        <f t="shared" si="50"/>
        <v>0.61285714285714288</v>
      </c>
      <c r="H116" s="39">
        <f t="shared" si="50"/>
        <v>0.46</v>
      </c>
      <c r="I116" s="39">
        <f t="shared" si="50"/>
        <v>0.31714285714285712</v>
      </c>
      <c r="J116" s="39">
        <f t="shared" si="50"/>
        <v>0.16857142857142859</v>
      </c>
      <c r="K116" s="39">
        <f t="shared" si="50"/>
        <v>0.14857142857142858</v>
      </c>
      <c r="L116" s="39">
        <f t="shared" si="50"/>
        <v>9.4428571428571431E-2</v>
      </c>
      <c r="M116" s="39">
        <f t="shared" si="50"/>
        <v>9.2428571428571429E-2</v>
      </c>
      <c r="N116" s="3">
        <v>20</v>
      </c>
      <c r="O116" s="39">
        <f t="shared" si="51"/>
        <v>3.0642857142857145E-2</v>
      </c>
      <c r="P116" s="39">
        <f t="shared" si="52"/>
        <v>3.0642857142857145E-2</v>
      </c>
      <c r="Q116" s="39">
        <f t="shared" si="53"/>
        <v>8.4285714285714294E-3</v>
      </c>
      <c r="R116" s="39">
        <f t="shared" si="54"/>
        <v>4.7214285714285717E-3</v>
      </c>
    </row>
    <row r="117" spans="5:18" ht="15" x14ac:dyDescent="0.2">
      <c r="E117" s="39" t="s">
        <v>126</v>
      </c>
      <c r="F117" s="39">
        <f t="shared" si="50"/>
        <v>0</v>
      </c>
      <c r="G117" s="39">
        <f t="shared" si="50"/>
        <v>0</v>
      </c>
      <c r="H117" s="39">
        <f t="shared" si="50"/>
        <v>0</v>
      </c>
      <c r="I117" s="39">
        <f t="shared" si="50"/>
        <v>0</v>
      </c>
      <c r="J117" s="39">
        <f t="shared" si="50"/>
        <v>0</v>
      </c>
      <c r="K117" s="39">
        <f t="shared" si="50"/>
        <v>0</v>
      </c>
      <c r="L117" s="39">
        <f t="shared" si="50"/>
        <v>0</v>
      </c>
      <c r="M117" s="39">
        <f t="shared" si="50"/>
        <v>0</v>
      </c>
      <c r="N117" s="3">
        <v>2.4</v>
      </c>
      <c r="O117" s="39">
        <f t="shared" si="51"/>
        <v>0</v>
      </c>
      <c r="P117" s="39">
        <f t="shared" si="52"/>
        <v>0</v>
      </c>
      <c r="Q117" s="39">
        <f t="shared" si="53"/>
        <v>0</v>
      </c>
      <c r="R117" s="39">
        <f t="shared" si="54"/>
        <v>0</v>
      </c>
    </row>
    <row r="118" spans="5:18" ht="15" x14ac:dyDescent="0.2">
      <c r="E118" s="39" t="s">
        <v>127</v>
      </c>
      <c r="F118" s="39">
        <f t="shared" si="50"/>
        <v>4.4142857142857143E-2</v>
      </c>
      <c r="G118" s="39">
        <f t="shared" si="50"/>
        <v>5.2428571428571429E-2</v>
      </c>
      <c r="H118" s="39">
        <f t="shared" si="50"/>
        <v>6.9571428571428576E-2</v>
      </c>
      <c r="I118" s="39">
        <f t="shared" si="50"/>
        <v>7.6428571428571429E-2</v>
      </c>
      <c r="J118" s="39">
        <f t="shared" si="50"/>
        <v>2.242857142857143E-2</v>
      </c>
      <c r="K118" s="39">
        <f t="shared" si="50"/>
        <v>1.7857142857142856E-2</v>
      </c>
      <c r="L118" s="39">
        <f t="shared" si="50"/>
        <v>0</v>
      </c>
      <c r="M118" s="39">
        <f t="shared" si="50"/>
        <v>0</v>
      </c>
      <c r="N118" s="3">
        <v>5.6</v>
      </c>
      <c r="O118" s="39">
        <f t="shared" si="51"/>
        <v>9.3622448979591849E-3</v>
      </c>
      <c r="P118" s="39">
        <f t="shared" si="52"/>
        <v>1.2423469387755104E-2</v>
      </c>
      <c r="Q118" s="39">
        <f t="shared" si="53"/>
        <v>4.0051020408163268E-3</v>
      </c>
      <c r="R118" s="39">
        <f t="shared" si="54"/>
        <v>0</v>
      </c>
    </row>
    <row r="119" spans="5:18" ht="15" x14ac:dyDescent="0.2">
      <c r="E119" s="39" t="s">
        <v>1</v>
      </c>
      <c r="F119" s="39">
        <f t="shared" si="50"/>
        <v>43.142857142857146</v>
      </c>
      <c r="G119" s="39">
        <f t="shared" si="50"/>
        <v>0</v>
      </c>
      <c r="H119" s="39">
        <f t="shared" si="50"/>
        <v>0</v>
      </c>
      <c r="I119" s="39">
        <f t="shared" si="50"/>
        <v>0</v>
      </c>
      <c r="J119" s="39">
        <f t="shared" si="50"/>
        <v>0</v>
      </c>
      <c r="K119" s="39">
        <f t="shared" si="50"/>
        <v>0</v>
      </c>
      <c r="L119" s="39">
        <f t="shared" si="50"/>
        <v>0</v>
      </c>
      <c r="M119" s="39">
        <f t="shared" si="50"/>
        <v>0</v>
      </c>
      <c r="N119" s="3">
        <v>28</v>
      </c>
      <c r="O119" s="39">
        <f t="shared" si="51"/>
        <v>1.5408163265306123</v>
      </c>
      <c r="P119" s="39">
        <f t="shared" si="52"/>
        <v>0</v>
      </c>
      <c r="Q119" s="39">
        <f t="shared" si="53"/>
        <v>0</v>
      </c>
      <c r="R119" s="39">
        <f t="shared" si="54"/>
        <v>0</v>
      </c>
    </row>
    <row r="120" spans="5:18" ht="15" x14ac:dyDescent="0.2">
      <c r="E120" s="39" t="s">
        <v>0</v>
      </c>
      <c r="F120" s="39">
        <f t="shared" ref="F120:M120" si="55">F20/70</f>
        <v>0</v>
      </c>
      <c r="G120" s="39">
        <f t="shared" si="55"/>
        <v>0</v>
      </c>
      <c r="H120" s="39">
        <f t="shared" si="55"/>
        <v>0</v>
      </c>
      <c r="I120" s="39">
        <f t="shared" si="55"/>
        <v>0</v>
      </c>
      <c r="J120" s="39">
        <f t="shared" si="55"/>
        <v>0</v>
      </c>
      <c r="K120" s="39">
        <f t="shared" si="55"/>
        <v>0</v>
      </c>
      <c r="L120" s="39">
        <f t="shared" si="55"/>
        <v>0</v>
      </c>
      <c r="M120" s="39">
        <f t="shared" si="55"/>
        <v>0</v>
      </c>
      <c r="N120" s="3">
        <v>170</v>
      </c>
      <c r="O120" s="39">
        <f t="shared" si="51"/>
        <v>0</v>
      </c>
      <c r="P120" s="39">
        <f t="shared" si="52"/>
        <v>0</v>
      </c>
      <c r="Q120" s="39">
        <f t="shared" si="53"/>
        <v>0</v>
      </c>
      <c r="R120" s="39">
        <f t="shared" si="54"/>
        <v>0</v>
      </c>
    </row>
    <row r="121" spans="5:18" ht="16" x14ac:dyDescent="0.2">
      <c r="E121" s="95" t="s">
        <v>99</v>
      </c>
      <c r="F121" s="97" t="s">
        <v>128</v>
      </c>
      <c r="G121" s="98"/>
      <c r="H121" s="98"/>
      <c r="I121" s="98"/>
      <c r="J121" s="98"/>
      <c r="K121" s="98"/>
      <c r="L121" s="98"/>
      <c r="M121" s="98"/>
      <c r="N121" s="59" t="s">
        <v>104</v>
      </c>
      <c r="O121" s="47" t="s">
        <v>105</v>
      </c>
      <c r="P121" s="48" t="s">
        <v>106</v>
      </c>
      <c r="Q121" s="48" t="s">
        <v>107</v>
      </c>
      <c r="R121" s="49" t="s">
        <v>108</v>
      </c>
    </row>
    <row r="122" spans="5:18" ht="15" x14ac:dyDescent="0.2">
      <c r="E122" s="96"/>
      <c r="F122" s="51">
        <v>80</v>
      </c>
      <c r="G122" s="51">
        <v>80</v>
      </c>
      <c r="H122" s="51">
        <v>80</v>
      </c>
      <c r="I122" s="51">
        <v>80</v>
      </c>
      <c r="J122" s="51">
        <v>80</v>
      </c>
      <c r="K122" s="51">
        <v>80</v>
      </c>
      <c r="L122" s="51">
        <v>80</v>
      </c>
      <c r="M122" s="51">
        <v>80</v>
      </c>
      <c r="N122" s="60" t="s">
        <v>113</v>
      </c>
      <c r="O122" s="47" t="s">
        <v>27</v>
      </c>
      <c r="P122" s="48" t="s">
        <v>27</v>
      </c>
      <c r="Q122" s="48" t="s">
        <v>27</v>
      </c>
      <c r="R122" s="49" t="s">
        <v>27</v>
      </c>
    </row>
    <row r="123" spans="5:18" ht="15" x14ac:dyDescent="0.2">
      <c r="E123" s="39" t="s">
        <v>114</v>
      </c>
      <c r="F123" s="39">
        <v>0</v>
      </c>
      <c r="G123" s="39">
        <v>0</v>
      </c>
      <c r="H123" s="39">
        <v>0</v>
      </c>
      <c r="I123" s="39">
        <v>0</v>
      </c>
      <c r="J123" s="39">
        <v>0</v>
      </c>
      <c r="K123" s="39">
        <v>0</v>
      </c>
      <c r="L123" s="39">
        <f>L3/$L$122</f>
        <v>0</v>
      </c>
      <c r="M123" s="39">
        <v>0</v>
      </c>
      <c r="N123" s="7">
        <v>5.7000000000000002E-2</v>
      </c>
      <c r="O123" s="39">
        <f>MAX(F123:G123)/N123</f>
        <v>0</v>
      </c>
      <c r="P123" s="39">
        <f>MAX(G123:H123)/N123</f>
        <v>0</v>
      </c>
      <c r="Q123" s="39">
        <f>MAX(J123:K123)/N123</f>
        <v>0</v>
      </c>
      <c r="R123" s="39">
        <f>MAX(L123:M123)/N123</f>
        <v>0</v>
      </c>
    </row>
    <row r="124" spans="5:18" ht="15" x14ac:dyDescent="0.2">
      <c r="E124" s="39" t="s">
        <v>115</v>
      </c>
      <c r="F124" s="39">
        <f>F4/$F$122</f>
        <v>4.6375E-2</v>
      </c>
      <c r="G124" s="39">
        <f>G4/$G$122</f>
        <v>4.9750000000000003E-2</v>
      </c>
      <c r="H124" s="39">
        <f>H4/$H$122</f>
        <v>3.875E-2</v>
      </c>
      <c r="I124" s="39">
        <f>I4/$I$122</f>
        <v>0.05</v>
      </c>
      <c r="J124" s="39">
        <f>J4/$J$122</f>
        <v>1.7499999999999998E-2</v>
      </c>
      <c r="K124" s="39">
        <f>K4/$K$122</f>
        <v>1.7499999999999998E-2</v>
      </c>
      <c r="L124" s="39">
        <f t="shared" ref="L124:L140" si="56">L4/$L$122</f>
        <v>5.6250000000000001E-2</v>
      </c>
      <c r="M124" s="39">
        <f>M4/$M$122</f>
        <v>1.2E-2</v>
      </c>
      <c r="N124" s="7">
        <v>114.7</v>
      </c>
      <c r="O124" s="39">
        <f t="shared" ref="O124:O140" si="57">MAX(F124:G124)/N124</f>
        <v>4.3374019180470797E-4</v>
      </c>
      <c r="P124" s="39">
        <f t="shared" ref="P124:P140" si="58">MAX(G124:H124)/N124</f>
        <v>4.3374019180470797E-4</v>
      </c>
      <c r="Q124" s="39">
        <f t="shared" ref="Q124:Q140" si="59">MAX(J124:K124)/N124</f>
        <v>1.5257192676547513E-4</v>
      </c>
      <c r="R124" s="39">
        <f t="shared" ref="R124:R140" si="60">MAX(L124:M124)/N124</f>
        <v>4.9040976460331298E-4</v>
      </c>
    </row>
    <row r="125" spans="5:18" ht="15" x14ac:dyDescent="0.2">
      <c r="E125" s="39" t="s">
        <v>116</v>
      </c>
      <c r="F125" s="39">
        <f t="shared" ref="F125:F140" si="61">F5/$F$122</f>
        <v>0.36249999999999999</v>
      </c>
      <c r="G125" s="39">
        <f t="shared" ref="G125:G140" si="62">G5/$G$122</f>
        <v>0.3</v>
      </c>
      <c r="H125" s="39">
        <f t="shared" ref="H125:H140" si="63">H5/$H$122</f>
        <v>0.4375</v>
      </c>
      <c r="I125" s="39">
        <f t="shared" ref="I125:I140" si="64">I5/$I$122</f>
        <v>0.36249999999999999</v>
      </c>
      <c r="J125" s="39">
        <f t="shared" ref="J125:J140" si="65">J5/$J$122</f>
        <v>0</v>
      </c>
      <c r="K125" s="39">
        <f t="shared" ref="K125:K140" si="66">K5/$K$122</f>
        <v>0</v>
      </c>
      <c r="L125" s="39">
        <f t="shared" si="56"/>
        <v>0</v>
      </c>
      <c r="M125" s="39">
        <f t="shared" ref="M125:M140" si="67">M5/$M$122</f>
        <v>0</v>
      </c>
      <c r="N125" s="6">
        <v>2900</v>
      </c>
      <c r="O125" s="39">
        <f t="shared" si="57"/>
        <v>1.25E-4</v>
      </c>
      <c r="P125" s="39">
        <f t="shared" si="58"/>
        <v>1.5086206896551725E-4</v>
      </c>
      <c r="Q125" s="39">
        <f t="shared" si="59"/>
        <v>0</v>
      </c>
      <c r="R125" s="39">
        <f t="shared" si="60"/>
        <v>0</v>
      </c>
    </row>
    <row r="126" spans="5:18" ht="15" x14ac:dyDescent="0.2">
      <c r="E126" s="39" t="s">
        <v>117</v>
      </c>
      <c r="F126" s="39">
        <f t="shared" si="61"/>
        <v>3.0249999999999999E-2</v>
      </c>
      <c r="G126" s="39">
        <f t="shared" si="62"/>
        <v>2.6374999999999999E-2</v>
      </c>
      <c r="H126" s="39">
        <f t="shared" si="63"/>
        <v>3.7624999999999999E-2</v>
      </c>
      <c r="I126" s="39">
        <f t="shared" si="64"/>
        <v>3.9625E-2</v>
      </c>
      <c r="J126" s="39">
        <f t="shared" si="65"/>
        <v>1.3250000000000001E-2</v>
      </c>
      <c r="K126" s="39">
        <f t="shared" si="66"/>
        <v>0.01</v>
      </c>
      <c r="L126" s="39">
        <f t="shared" si="56"/>
        <v>0</v>
      </c>
      <c r="M126" s="39">
        <f t="shared" si="67"/>
        <v>0</v>
      </c>
      <c r="N126" s="3">
        <v>1.06</v>
      </c>
      <c r="O126" s="39">
        <f t="shared" si="57"/>
        <v>2.8537735849056601E-2</v>
      </c>
      <c r="P126" s="39">
        <f t="shared" si="58"/>
        <v>3.5495283018867924E-2</v>
      </c>
      <c r="Q126" s="39">
        <f t="shared" si="59"/>
        <v>1.2500000000000001E-2</v>
      </c>
      <c r="R126" s="39">
        <f t="shared" si="60"/>
        <v>0</v>
      </c>
    </row>
    <row r="127" spans="5:18" ht="15" x14ac:dyDescent="0.2">
      <c r="E127" s="39" t="s">
        <v>118</v>
      </c>
      <c r="F127" s="39">
        <f t="shared" si="61"/>
        <v>0.48749999999999999</v>
      </c>
      <c r="G127" s="39">
        <f t="shared" si="62"/>
        <v>0.41624999999999995</v>
      </c>
      <c r="H127" s="39">
        <f t="shared" si="63"/>
        <v>0.215</v>
      </c>
      <c r="I127" s="39">
        <f t="shared" si="64"/>
        <v>7.4999999999999997E-2</v>
      </c>
      <c r="J127" s="39">
        <f t="shared" si="65"/>
        <v>0.16999999999999998</v>
      </c>
      <c r="K127" s="39">
        <f t="shared" si="66"/>
        <v>0.33875</v>
      </c>
      <c r="L127" s="39">
        <f t="shared" si="56"/>
        <v>0.23875000000000002</v>
      </c>
      <c r="M127" s="39">
        <f t="shared" si="67"/>
        <v>0.27</v>
      </c>
      <c r="N127" s="3">
        <v>6.3</v>
      </c>
      <c r="O127" s="39">
        <f t="shared" si="57"/>
        <v>7.7380952380952384E-2</v>
      </c>
      <c r="P127" s="39">
        <f t="shared" si="58"/>
        <v>6.6071428571428573E-2</v>
      </c>
      <c r="Q127" s="39">
        <f t="shared" si="59"/>
        <v>5.3769841269841273E-2</v>
      </c>
      <c r="R127" s="39">
        <f t="shared" si="60"/>
        <v>4.2857142857142864E-2</v>
      </c>
    </row>
    <row r="128" spans="5:18" ht="15" x14ac:dyDescent="0.2">
      <c r="E128" s="39" t="s">
        <v>16</v>
      </c>
      <c r="F128" s="39">
        <f t="shared" si="61"/>
        <v>2.5000000000000001E-2</v>
      </c>
      <c r="G128" s="39">
        <f t="shared" si="62"/>
        <v>0</v>
      </c>
      <c r="H128" s="39">
        <f t="shared" si="63"/>
        <v>3.875E-2</v>
      </c>
      <c r="I128" s="39">
        <f t="shared" si="64"/>
        <v>3.2500000000000001E-2</v>
      </c>
      <c r="J128" s="39">
        <f t="shared" si="65"/>
        <v>0</v>
      </c>
      <c r="K128" s="39">
        <f t="shared" si="66"/>
        <v>0</v>
      </c>
      <c r="L128" s="39">
        <f t="shared" si="56"/>
        <v>0</v>
      </c>
      <c r="M128" s="39">
        <f t="shared" si="67"/>
        <v>0</v>
      </c>
      <c r="N128" s="3">
        <v>1650</v>
      </c>
      <c r="O128" s="39">
        <f t="shared" si="57"/>
        <v>1.5151515151515153E-5</v>
      </c>
      <c r="P128" s="39">
        <f t="shared" si="58"/>
        <v>2.3484848484848483E-5</v>
      </c>
      <c r="Q128" s="39">
        <f t="shared" si="59"/>
        <v>0</v>
      </c>
      <c r="R128" s="39">
        <f t="shared" si="60"/>
        <v>0</v>
      </c>
    </row>
    <row r="129" spans="5:18" ht="15" x14ac:dyDescent="0.2">
      <c r="E129" s="39" t="s">
        <v>119</v>
      </c>
      <c r="F129" s="39">
        <f t="shared" si="61"/>
        <v>1.1099999999999999</v>
      </c>
      <c r="G129" s="39">
        <f t="shared" si="62"/>
        <v>1.0625</v>
      </c>
      <c r="H129" s="39">
        <f t="shared" si="63"/>
        <v>1.325</v>
      </c>
      <c r="I129" s="39">
        <f t="shared" si="64"/>
        <v>1.65</v>
      </c>
      <c r="J129" s="39">
        <f t="shared" si="65"/>
        <v>0.63875000000000004</v>
      </c>
      <c r="K129" s="39">
        <f t="shared" si="66"/>
        <v>0.53375000000000006</v>
      </c>
      <c r="L129" s="39">
        <f t="shared" si="56"/>
        <v>0.29749999999999999</v>
      </c>
      <c r="M129" s="39">
        <f t="shared" si="67"/>
        <v>0.29874999999999996</v>
      </c>
      <c r="N129" s="3">
        <v>34</v>
      </c>
      <c r="O129" s="39">
        <f t="shared" si="57"/>
        <v>3.2647058823529411E-2</v>
      </c>
      <c r="P129" s="39">
        <f t="shared" si="58"/>
        <v>3.8970588235294118E-2</v>
      </c>
      <c r="Q129" s="39">
        <f t="shared" si="59"/>
        <v>1.8786764705882354E-2</v>
      </c>
      <c r="R129" s="39">
        <f t="shared" si="60"/>
        <v>8.7867647058823516E-3</v>
      </c>
    </row>
    <row r="130" spans="5:18" ht="15" x14ac:dyDescent="0.2">
      <c r="E130" s="39" t="s">
        <v>120</v>
      </c>
      <c r="F130" s="39">
        <f t="shared" si="61"/>
        <v>0.03</v>
      </c>
      <c r="G130" s="39">
        <f t="shared" si="62"/>
        <v>2.6250000000000002E-2</v>
      </c>
      <c r="H130" s="39">
        <f t="shared" si="63"/>
        <v>6.25E-2</v>
      </c>
      <c r="I130" s="39">
        <f t="shared" si="64"/>
        <v>6.25E-2</v>
      </c>
      <c r="J130" s="39">
        <f t="shared" si="65"/>
        <v>2.6250000000000002E-2</v>
      </c>
      <c r="K130" s="39">
        <f t="shared" si="66"/>
        <v>0</v>
      </c>
      <c r="L130" s="39">
        <f t="shared" si="56"/>
        <v>0</v>
      </c>
      <c r="M130" s="39">
        <f t="shared" si="67"/>
        <v>0</v>
      </c>
      <c r="N130" s="3">
        <v>11900</v>
      </c>
      <c r="O130" s="39">
        <f t="shared" si="57"/>
        <v>2.5210084033613444E-6</v>
      </c>
      <c r="P130" s="39">
        <f t="shared" si="58"/>
        <v>5.2521008403361346E-6</v>
      </c>
      <c r="Q130" s="39">
        <f t="shared" si="59"/>
        <v>2.2058823529411767E-6</v>
      </c>
      <c r="R130" s="39">
        <f t="shared" si="60"/>
        <v>0</v>
      </c>
    </row>
    <row r="131" spans="5:18" ht="15" x14ac:dyDescent="0.2">
      <c r="E131" s="39" t="s">
        <v>11</v>
      </c>
      <c r="F131" s="39">
        <f t="shared" si="61"/>
        <v>1.9875</v>
      </c>
      <c r="G131" s="39">
        <f t="shared" si="62"/>
        <v>1.7375</v>
      </c>
      <c r="H131" s="39">
        <f t="shared" si="63"/>
        <v>3.7250000000000001</v>
      </c>
      <c r="I131" s="39">
        <f t="shared" si="64"/>
        <v>4.5750000000000002</v>
      </c>
      <c r="J131" s="39">
        <f t="shared" si="65"/>
        <v>1.325</v>
      </c>
      <c r="K131" s="39">
        <f t="shared" si="66"/>
        <v>1.115</v>
      </c>
      <c r="L131" s="39">
        <f t="shared" si="56"/>
        <v>0.76749999999999996</v>
      </c>
      <c r="M131" s="39">
        <f t="shared" si="67"/>
        <v>0.72499999999999998</v>
      </c>
      <c r="N131" s="3">
        <v>37</v>
      </c>
      <c r="O131" s="39">
        <f t="shared" si="57"/>
        <v>5.3716216216216216E-2</v>
      </c>
      <c r="P131" s="39">
        <f t="shared" si="58"/>
        <v>0.10067567567567567</v>
      </c>
      <c r="Q131" s="39">
        <f t="shared" si="59"/>
        <v>3.5810810810810813E-2</v>
      </c>
      <c r="R131" s="39">
        <f t="shared" si="60"/>
        <v>2.0743243243243243E-2</v>
      </c>
    </row>
    <row r="132" spans="5:18" ht="15" x14ac:dyDescent="0.2">
      <c r="E132" s="39" t="s">
        <v>121</v>
      </c>
      <c r="F132" s="39">
        <f t="shared" si="61"/>
        <v>3.6249999999999998E-2</v>
      </c>
      <c r="G132" s="39">
        <f t="shared" si="62"/>
        <v>2.7500000000000004E-2</v>
      </c>
      <c r="H132" s="39">
        <f t="shared" si="63"/>
        <v>6.25E-2</v>
      </c>
      <c r="I132" s="39">
        <f t="shared" si="64"/>
        <v>6.6250000000000003E-2</v>
      </c>
      <c r="J132" s="39">
        <f t="shared" si="65"/>
        <v>0.03</v>
      </c>
      <c r="K132" s="39">
        <f t="shared" si="66"/>
        <v>2.7500000000000004E-2</v>
      </c>
      <c r="L132" s="39">
        <f t="shared" si="56"/>
        <v>1.8749999999999999E-2</v>
      </c>
      <c r="M132" s="39">
        <f t="shared" si="67"/>
        <v>1.8749999999999999E-2</v>
      </c>
      <c r="N132" s="3">
        <v>4.0999999999999996</v>
      </c>
      <c r="O132" s="39">
        <f t="shared" si="57"/>
        <v>8.8414634146341473E-3</v>
      </c>
      <c r="P132" s="39">
        <f t="shared" si="58"/>
        <v>1.5243902439024392E-2</v>
      </c>
      <c r="Q132" s="39">
        <f t="shared" si="59"/>
        <v>7.3170731707317077E-3</v>
      </c>
      <c r="R132" s="39">
        <f t="shared" si="60"/>
        <v>4.5731707317073177E-3</v>
      </c>
    </row>
    <row r="133" spans="5:18" ht="15" x14ac:dyDescent="0.2">
      <c r="E133" s="39" t="s">
        <v>122</v>
      </c>
      <c r="F133" s="39">
        <f t="shared" si="61"/>
        <v>4.5625</v>
      </c>
      <c r="G133" s="39">
        <f t="shared" si="62"/>
        <v>3.3125</v>
      </c>
      <c r="H133" s="39">
        <f t="shared" si="63"/>
        <v>7.6624999999999996</v>
      </c>
      <c r="I133" s="39">
        <f t="shared" si="64"/>
        <v>6.05</v>
      </c>
      <c r="J133" s="39">
        <f t="shared" si="65"/>
        <v>4.2625000000000002</v>
      </c>
      <c r="K133" s="39">
        <f t="shared" si="66"/>
        <v>3.5750000000000002</v>
      </c>
      <c r="L133" s="39">
        <f t="shared" si="56"/>
        <v>3.0249999999999999</v>
      </c>
      <c r="M133" s="39">
        <f t="shared" si="67"/>
        <v>2.75</v>
      </c>
      <c r="N133" s="3">
        <v>14.4</v>
      </c>
      <c r="O133" s="39">
        <f t="shared" si="57"/>
        <v>0.31684027777777779</v>
      </c>
      <c r="P133" s="39">
        <f t="shared" si="58"/>
        <v>0.53211805555555547</v>
      </c>
      <c r="Q133" s="39">
        <f t="shared" si="59"/>
        <v>0.29600694444444448</v>
      </c>
      <c r="R133" s="39">
        <f t="shared" si="60"/>
        <v>0.21006944444444442</v>
      </c>
    </row>
    <row r="134" spans="5:18" ht="15" x14ac:dyDescent="0.2">
      <c r="E134" s="39" t="s">
        <v>123</v>
      </c>
      <c r="F134" s="39">
        <f t="shared" si="61"/>
        <v>0</v>
      </c>
      <c r="G134" s="39">
        <f t="shared" si="62"/>
        <v>6.9999999999999999E-4</v>
      </c>
      <c r="H134" s="39">
        <f t="shared" si="63"/>
        <v>0</v>
      </c>
      <c r="I134" s="39">
        <f t="shared" si="64"/>
        <v>0</v>
      </c>
      <c r="J134" s="39">
        <f t="shared" si="65"/>
        <v>0</v>
      </c>
      <c r="K134" s="39">
        <f t="shared" si="66"/>
        <v>0</v>
      </c>
      <c r="L134" s="39">
        <f t="shared" si="56"/>
        <v>0</v>
      </c>
      <c r="M134" s="39">
        <f t="shared" si="67"/>
        <v>0</v>
      </c>
      <c r="N134" s="3">
        <v>0.19</v>
      </c>
      <c r="O134" s="39">
        <f t="shared" si="57"/>
        <v>3.6842105263157894E-3</v>
      </c>
      <c r="P134" s="39">
        <f t="shared" si="58"/>
        <v>3.6842105263157894E-3</v>
      </c>
      <c r="Q134" s="39">
        <f t="shared" si="59"/>
        <v>0</v>
      </c>
      <c r="R134" s="39">
        <f t="shared" si="60"/>
        <v>0</v>
      </c>
    </row>
    <row r="135" spans="5:18" ht="15" x14ac:dyDescent="0.2">
      <c r="E135" s="39" t="s">
        <v>124</v>
      </c>
      <c r="F135" s="39">
        <f t="shared" si="61"/>
        <v>1.0175E-2</v>
      </c>
      <c r="G135" s="39">
        <f t="shared" si="62"/>
        <v>9.7000000000000003E-3</v>
      </c>
      <c r="H135" s="39">
        <f t="shared" si="63"/>
        <v>1.2274999999999999E-2</v>
      </c>
      <c r="I135" s="39">
        <f t="shared" si="64"/>
        <v>1.3125000000000001E-2</v>
      </c>
      <c r="J135" s="39">
        <f t="shared" si="65"/>
        <v>0</v>
      </c>
      <c r="K135" s="39">
        <f t="shared" si="66"/>
        <v>0</v>
      </c>
      <c r="L135" s="39">
        <f t="shared" si="56"/>
        <v>0</v>
      </c>
      <c r="M135" s="39">
        <f t="shared" si="67"/>
        <v>0</v>
      </c>
      <c r="N135" s="3">
        <v>6.5</v>
      </c>
      <c r="O135" s="39">
        <f t="shared" si="57"/>
        <v>1.5653846153846154E-3</v>
      </c>
      <c r="P135" s="39">
        <f t="shared" si="58"/>
        <v>1.8884615384615383E-3</v>
      </c>
      <c r="Q135" s="39">
        <f t="shared" si="59"/>
        <v>0</v>
      </c>
      <c r="R135" s="39">
        <f t="shared" si="60"/>
        <v>0</v>
      </c>
    </row>
    <row r="136" spans="5:18" ht="15" x14ac:dyDescent="0.2">
      <c r="E136" s="39" t="s">
        <v>125</v>
      </c>
      <c r="F136" s="39">
        <f t="shared" si="61"/>
        <v>0.47499999999999998</v>
      </c>
      <c r="G136" s="39">
        <f t="shared" si="62"/>
        <v>0.53625</v>
      </c>
      <c r="H136" s="39">
        <f t="shared" si="63"/>
        <v>0.40250000000000002</v>
      </c>
      <c r="I136" s="39">
        <f t="shared" si="64"/>
        <v>0.27749999999999997</v>
      </c>
      <c r="J136" s="39">
        <f t="shared" si="65"/>
        <v>0.14750000000000002</v>
      </c>
      <c r="K136" s="39">
        <f t="shared" si="66"/>
        <v>0.13</v>
      </c>
      <c r="L136" s="39">
        <f t="shared" si="56"/>
        <v>8.2625000000000004E-2</v>
      </c>
      <c r="M136" s="39">
        <f t="shared" si="67"/>
        <v>8.0875000000000002E-2</v>
      </c>
      <c r="N136" s="3">
        <v>20</v>
      </c>
      <c r="O136" s="39">
        <f t="shared" si="57"/>
        <v>2.68125E-2</v>
      </c>
      <c r="P136" s="39">
        <f t="shared" si="58"/>
        <v>2.68125E-2</v>
      </c>
      <c r="Q136" s="39">
        <f t="shared" si="59"/>
        <v>7.3750000000000013E-3</v>
      </c>
      <c r="R136" s="39">
        <f t="shared" si="60"/>
        <v>4.1312500000000004E-3</v>
      </c>
    </row>
    <row r="137" spans="5:18" ht="15" x14ac:dyDescent="0.2">
      <c r="E137" s="39" t="s">
        <v>126</v>
      </c>
      <c r="F137" s="39">
        <f t="shared" si="61"/>
        <v>0</v>
      </c>
      <c r="G137" s="39">
        <f t="shared" si="62"/>
        <v>0</v>
      </c>
      <c r="H137" s="39">
        <f t="shared" si="63"/>
        <v>0</v>
      </c>
      <c r="I137" s="39">
        <f t="shared" si="64"/>
        <v>0</v>
      </c>
      <c r="J137" s="39">
        <f t="shared" si="65"/>
        <v>0</v>
      </c>
      <c r="K137" s="39">
        <f t="shared" si="66"/>
        <v>0</v>
      </c>
      <c r="L137" s="39">
        <f t="shared" si="56"/>
        <v>0</v>
      </c>
      <c r="M137" s="39">
        <f t="shared" si="67"/>
        <v>0</v>
      </c>
      <c r="N137" s="3">
        <v>2.4</v>
      </c>
      <c r="O137" s="39">
        <f t="shared" si="57"/>
        <v>0</v>
      </c>
      <c r="P137" s="39">
        <f t="shared" si="58"/>
        <v>0</v>
      </c>
      <c r="Q137" s="39">
        <f t="shared" si="59"/>
        <v>0</v>
      </c>
      <c r="R137" s="39">
        <f t="shared" si="60"/>
        <v>0</v>
      </c>
    </row>
    <row r="138" spans="5:18" ht="15" x14ac:dyDescent="0.2">
      <c r="E138" s="39" t="s">
        <v>127</v>
      </c>
      <c r="F138" s="39">
        <f t="shared" si="61"/>
        <v>3.8625E-2</v>
      </c>
      <c r="G138" s="39">
        <f t="shared" si="62"/>
        <v>4.5874999999999999E-2</v>
      </c>
      <c r="H138" s="39">
        <f t="shared" si="63"/>
        <v>6.0874999999999999E-2</v>
      </c>
      <c r="I138" s="39">
        <f t="shared" si="64"/>
        <v>6.687499999999999E-2</v>
      </c>
      <c r="J138" s="39">
        <f t="shared" si="65"/>
        <v>1.9625E-2</v>
      </c>
      <c r="K138" s="39">
        <f t="shared" si="66"/>
        <v>1.5625E-2</v>
      </c>
      <c r="L138" s="39">
        <f t="shared" si="56"/>
        <v>0</v>
      </c>
      <c r="M138" s="39">
        <f t="shared" si="67"/>
        <v>0</v>
      </c>
      <c r="N138" s="3">
        <v>5.6</v>
      </c>
      <c r="O138" s="39">
        <f t="shared" si="57"/>
        <v>8.1919642857142868E-3</v>
      </c>
      <c r="P138" s="39">
        <f t="shared" si="58"/>
        <v>1.0870535714285715E-2</v>
      </c>
      <c r="Q138" s="39">
        <f t="shared" si="59"/>
        <v>3.5044642857142861E-3</v>
      </c>
      <c r="R138" s="39">
        <f t="shared" si="60"/>
        <v>0</v>
      </c>
    </row>
    <row r="139" spans="5:18" ht="15" x14ac:dyDescent="0.2">
      <c r="E139" s="39" t="s">
        <v>1</v>
      </c>
      <c r="F139" s="39">
        <f t="shared" si="61"/>
        <v>37.75</v>
      </c>
      <c r="G139" s="39">
        <f t="shared" si="62"/>
        <v>0</v>
      </c>
      <c r="H139" s="39">
        <f t="shared" si="63"/>
        <v>0</v>
      </c>
      <c r="I139" s="39">
        <f t="shared" si="64"/>
        <v>0</v>
      </c>
      <c r="J139" s="39">
        <f t="shared" si="65"/>
        <v>0</v>
      </c>
      <c r="K139" s="39">
        <f t="shared" si="66"/>
        <v>0</v>
      </c>
      <c r="L139" s="39">
        <f t="shared" si="56"/>
        <v>0</v>
      </c>
      <c r="M139" s="39">
        <f t="shared" si="67"/>
        <v>0</v>
      </c>
      <c r="N139" s="3">
        <v>28</v>
      </c>
      <c r="O139" s="39">
        <f t="shared" si="57"/>
        <v>1.3482142857142858</v>
      </c>
      <c r="P139" s="39">
        <f t="shared" si="58"/>
        <v>0</v>
      </c>
      <c r="Q139" s="39">
        <f t="shared" si="59"/>
        <v>0</v>
      </c>
      <c r="R139" s="39">
        <f t="shared" si="60"/>
        <v>0</v>
      </c>
    </row>
    <row r="140" spans="5:18" ht="15" x14ac:dyDescent="0.2">
      <c r="E140" s="39" t="s">
        <v>0</v>
      </c>
      <c r="F140" s="39">
        <f t="shared" si="61"/>
        <v>0</v>
      </c>
      <c r="G140" s="39">
        <f t="shared" si="62"/>
        <v>0</v>
      </c>
      <c r="H140" s="39">
        <f t="shared" si="63"/>
        <v>0</v>
      </c>
      <c r="I140" s="39">
        <f t="shared" si="64"/>
        <v>0</v>
      </c>
      <c r="J140" s="39">
        <f t="shared" si="65"/>
        <v>0</v>
      </c>
      <c r="K140" s="39">
        <f t="shared" si="66"/>
        <v>0</v>
      </c>
      <c r="L140" s="39">
        <f t="shared" si="56"/>
        <v>0</v>
      </c>
      <c r="M140" s="39">
        <f t="shared" si="67"/>
        <v>0</v>
      </c>
      <c r="N140" s="3">
        <v>170</v>
      </c>
      <c r="O140" s="39">
        <f t="shared" si="57"/>
        <v>0</v>
      </c>
      <c r="P140" s="39">
        <f t="shared" si="58"/>
        <v>0</v>
      </c>
      <c r="Q140" s="39">
        <f t="shared" si="59"/>
        <v>0</v>
      </c>
      <c r="R140" s="39">
        <f t="shared" si="60"/>
        <v>0</v>
      </c>
    </row>
    <row r="141" spans="5:18" ht="16" x14ac:dyDescent="0.2">
      <c r="E141" s="95" t="s">
        <v>99</v>
      </c>
      <c r="F141" s="97" t="s">
        <v>128</v>
      </c>
      <c r="G141" s="98"/>
      <c r="H141" s="98"/>
      <c r="I141" s="98"/>
      <c r="J141" s="98"/>
      <c r="K141" s="98"/>
      <c r="L141" s="98"/>
      <c r="M141" s="98"/>
      <c r="N141" s="59" t="s">
        <v>104</v>
      </c>
      <c r="O141" s="47" t="s">
        <v>105</v>
      </c>
      <c r="P141" s="48" t="s">
        <v>106</v>
      </c>
      <c r="Q141" s="48" t="s">
        <v>107</v>
      </c>
      <c r="R141" s="49" t="s">
        <v>108</v>
      </c>
    </row>
    <row r="142" spans="5:18" ht="15" x14ac:dyDescent="0.2">
      <c r="E142" s="96"/>
      <c r="F142" s="51">
        <v>100</v>
      </c>
      <c r="G142" s="51">
        <v>100</v>
      </c>
      <c r="H142" s="51">
        <v>100</v>
      </c>
      <c r="I142" s="51">
        <v>100</v>
      </c>
      <c r="J142" s="51">
        <v>100</v>
      </c>
      <c r="K142" s="51">
        <v>100</v>
      </c>
      <c r="L142" s="51">
        <v>100</v>
      </c>
      <c r="M142" s="51">
        <v>100</v>
      </c>
      <c r="N142" s="60" t="s">
        <v>113</v>
      </c>
      <c r="O142" s="47" t="s">
        <v>27</v>
      </c>
      <c r="P142" s="48" t="s">
        <v>27</v>
      </c>
      <c r="Q142" s="48" t="s">
        <v>27</v>
      </c>
      <c r="R142" s="49" t="s">
        <v>27</v>
      </c>
    </row>
    <row r="143" spans="5:18" ht="15" x14ac:dyDescent="0.2">
      <c r="E143" s="39" t="s">
        <v>114</v>
      </c>
      <c r="F143" s="39">
        <v>0</v>
      </c>
      <c r="G143" s="39">
        <v>0</v>
      </c>
      <c r="H143" s="39">
        <v>0</v>
      </c>
      <c r="I143" s="39">
        <v>0</v>
      </c>
      <c r="J143" s="39">
        <v>0</v>
      </c>
      <c r="K143" s="39">
        <v>0</v>
      </c>
      <c r="L143" s="39">
        <f>L3/$L$142</f>
        <v>0</v>
      </c>
      <c r="M143" s="39">
        <v>0</v>
      </c>
      <c r="N143" s="7">
        <v>5.7000000000000002E-2</v>
      </c>
      <c r="O143" s="39">
        <f>MAX(F143:G143)/N143</f>
        <v>0</v>
      </c>
      <c r="P143" s="39">
        <f>MAX(G143:H143)/N143</f>
        <v>0</v>
      </c>
      <c r="Q143" s="39">
        <f>MAX(J143:K143)/N143</f>
        <v>0</v>
      </c>
      <c r="R143" s="39">
        <f>MAX(L143:M143)/N143</f>
        <v>0</v>
      </c>
    </row>
    <row r="144" spans="5:18" ht="15" x14ac:dyDescent="0.2">
      <c r="E144" s="39" t="s">
        <v>115</v>
      </c>
      <c r="F144" s="39">
        <f>F4/$F$142</f>
        <v>3.7100000000000001E-2</v>
      </c>
      <c r="G144" s="39">
        <f>G4/$G$142</f>
        <v>3.9800000000000002E-2</v>
      </c>
      <c r="H144" s="39">
        <f>H4/$H$142</f>
        <v>3.1E-2</v>
      </c>
      <c r="I144" s="39">
        <f>I4/$I$142</f>
        <v>0.04</v>
      </c>
      <c r="J144" s="39">
        <f>J4/$J$142</f>
        <v>1.3999999999999999E-2</v>
      </c>
      <c r="K144" s="39">
        <f>K4/$K$142</f>
        <v>1.3999999999999999E-2</v>
      </c>
      <c r="L144" s="39">
        <f t="shared" ref="L144:L160" si="68">L4/$L$142</f>
        <v>4.4999999999999998E-2</v>
      </c>
      <c r="M144" s="39">
        <f>M4/$M$142</f>
        <v>9.5999999999999992E-3</v>
      </c>
      <c r="N144" s="7">
        <v>114.7</v>
      </c>
      <c r="O144" s="39">
        <f t="shared" ref="O144:O160" si="69">MAX(F144:G144)/N144</f>
        <v>3.4699215344376633E-4</v>
      </c>
      <c r="P144" s="39">
        <f t="shared" ref="P144:P160" si="70">MAX(G144:H144)/N144</f>
        <v>3.4699215344376633E-4</v>
      </c>
      <c r="Q144" s="39">
        <f t="shared" ref="Q144:Q160" si="71">MAX(J144:K144)/N144</f>
        <v>1.2205754141238011E-4</v>
      </c>
      <c r="R144" s="39">
        <f t="shared" ref="R144:R160" si="72">MAX(L144:M144)/N144</f>
        <v>3.9232781168265039E-4</v>
      </c>
    </row>
    <row r="145" spans="5:18" ht="15" x14ac:dyDescent="0.2">
      <c r="E145" s="39" t="s">
        <v>116</v>
      </c>
      <c r="F145" s="39">
        <f t="shared" ref="F145:F160" si="73">F5/$F$142</f>
        <v>0.28999999999999998</v>
      </c>
      <c r="G145" s="39">
        <f t="shared" ref="G145:G160" si="74">G5/$G$142</f>
        <v>0.24</v>
      </c>
      <c r="H145" s="39">
        <f t="shared" ref="H145:H160" si="75">H5/$H$142</f>
        <v>0.35</v>
      </c>
      <c r="I145" s="39">
        <f t="shared" ref="I145:I160" si="76">I5/$I$142</f>
        <v>0.28999999999999998</v>
      </c>
      <c r="J145" s="39">
        <f t="shared" ref="J145:J160" si="77">J5/$J$142</f>
        <v>0</v>
      </c>
      <c r="K145" s="39">
        <f t="shared" ref="K145:K160" si="78">K5/$K$142</f>
        <v>0</v>
      </c>
      <c r="L145" s="39">
        <f t="shared" si="68"/>
        <v>0</v>
      </c>
      <c r="M145" s="39">
        <f t="shared" ref="M145:M160" si="79">M5/$M$142</f>
        <v>0</v>
      </c>
      <c r="N145" s="6">
        <v>2900</v>
      </c>
      <c r="O145" s="39">
        <f t="shared" si="69"/>
        <v>9.9999999999999991E-5</v>
      </c>
      <c r="P145" s="39">
        <f t="shared" si="70"/>
        <v>1.2068965517241378E-4</v>
      </c>
      <c r="Q145" s="39">
        <f t="shared" si="71"/>
        <v>0</v>
      </c>
      <c r="R145" s="39">
        <f t="shared" si="72"/>
        <v>0</v>
      </c>
    </row>
    <row r="146" spans="5:18" ht="15" x14ac:dyDescent="0.2">
      <c r="E146" s="39" t="s">
        <v>117</v>
      </c>
      <c r="F146" s="39">
        <f t="shared" si="73"/>
        <v>2.4199999999999999E-2</v>
      </c>
      <c r="G146" s="39">
        <f t="shared" si="74"/>
        <v>2.1099999999999997E-2</v>
      </c>
      <c r="H146" s="39">
        <f t="shared" si="75"/>
        <v>3.0099999999999998E-2</v>
      </c>
      <c r="I146" s="39">
        <f t="shared" si="76"/>
        <v>3.1699999999999999E-2</v>
      </c>
      <c r="J146" s="39">
        <f t="shared" si="77"/>
        <v>1.06E-2</v>
      </c>
      <c r="K146" s="39">
        <f t="shared" si="78"/>
        <v>8.0000000000000002E-3</v>
      </c>
      <c r="L146" s="39">
        <f t="shared" si="68"/>
        <v>0</v>
      </c>
      <c r="M146" s="39">
        <f t="shared" si="79"/>
        <v>0</v>
      </c>
      <c r="N146" s="3">
        <v>1.06</v>
      </c>
      <c r="O146" s="39">
        <f t="shared" si="69"/>
        <v>2.2830188679245283E-2</v>
      </c>
      <c r="P146" s="39">
        <f t="shared" si="70"/>
        <v>2.8396226415094337E-2</v>
      </c>
      <c r="Q146" s="39">
        <f t="shared" si="71"/>
        <v>0.01</v>
      </c>
      <c r="R146" s="39">
        <f t="shared" si="72"/>
        <v>0</v>
      </c>
    </row>
    <row r="147" spans="5:18" ht="15" x14ac:dyDescent="0.2">
      <c r="E147" s="39" t="s">
        <v>118</v>
      </c>
      <c r="F147" s="39">
        <f t="shared" si="73"/>
        <v>0.39</v>
      </c>
      <c r="G147" s="39">
        <f t="shared" si="74"/>
        <v>0.33299999999999996</v>
      </c>
      <c r="H147" s="39">
        <f t="shared" si="75"/>
        <v>0.17199999999999999</v>
      </c>
      <c r="I147" s="39">
        <f t="shared" si="76"/>
        <v>0.06</v>
      </c>
      <c r="J147" s="39">
        <f t="shared" si="77"/>
        <v>0.13600000000000001</v>
      </c>
      <c r="K147" s="39">
        <f t="shared" si="78"/>
        <v>0.27100000000000002</v>
      </c>
      <c r="L147" s="39">
        <f t="shared" si="68"/>
        <v>0.191</v>
      </c>
      <c r="M147" s="39">
        <f t="shared" si="79"/>
        <v>0.21600000000000003</v>
      </c>
      <c r="N147" s="3">
        <v>6.3</v>
      </c>
      <c r="O147" s="39">
        <f t="shared" si="69"/>
        <v>6.1904761904761907E-2</v>
      </c>
      <c r="P147" s="39">
        <f t="shared" si="70"/>
        <v>5.2857142857142853E-2</v>
      </c>
      <c r="Q147" s="39">
        <f t="shared" si="71"/>
        <v>4.3015873015873021E-2</v>
      </c>
      <c r="R147" s="39">
        <f t="shared" si="72"/>
        <v>3.4285714285714287E-2</v>
      </c>
    </row>
    <row r="148" spans="5:18" ht="15" x14ac:dyDescent="0.2">
      <c r="E148" s="39" t="s">
        <v>16</v>
      </c>
      <c r="F148" s="39">
        <f t="shared" si="73"/>
        <v>0.02</v>
      </c>
      <c r="G148" s="39">
        <f t="shared" si="74"/>
        <v>0</v>
      </c>
      <c r="H148" s="39">
        <f t="shared" si="75"/>
        <v>3.1E-2</v>
      </c>
      <c r="I148" s="39">
        <f t="shared" si="76"/>
        <v>2.6000000000000002E-2</v>
      </c>
      <c r="J148" s="39">
        <f t="shared" si="77"/>
        <v>0</v>
      </c>
      <c r="K148" s="39">
        <f t="shared" si="78"/>
        <v>0</v>
      </c>
      <c r="L148" s="39">
        <f t="shared" si="68"/>
        <v>0</v>
      </c>
      <c r="M148" s="39">
        <f t="shared" si="79"/>
        <v>0</v>
      </c>
      <c r="N148" s="3">
        <v>1650</v>
      </c>
      <c r="O148" s="39">
        <f t="shared" si="69"/>
        <v>1.2121212121212122E-5</v>
      </c>
      <c r="P148" s="39">
        <f t="shared" si="70"/>
        <v>1.8787878787878789E-5</v>
      </c>
      <c r="Q148" s="39">
        <f t="shared" si="71"/>
        <v>0</v>
      </c>
      <c r="R148" s="39">
        <f t="shared" si="72"/>
        <v>0</v>
      </c>
    </row>
    <row r="149" spans="5:18" ht="15" x14ac:dyDescent="0.2">
      <c r="E149" s="39" t="s">
        <v>119</v>
      </c>
      <c r="F149" s="39">
        <f t="shared" si="73"/>
        <v>0.88800000000000001</v>
      </c>
      <c r="G149" s="39">
        <f t="shared" si="74"/>
        <v>0.85</v>
      </c>
      <c r="H149" s="39">
        <f t="shared" si="75"/>
        <v>1.06</v>
      </c>
      <c r="I149" s="39">
        <f t="shared" si="76"/>
        <v>1.32</v>
      </c>
      <c r="J149" s="39">
        <f t="shared" si="77"/>
        <v>0.51100000000000001</v>
      </c>
      <c r="K149" s="39">
        <f t="shared" si="78"/>
        <v>0.42700000000000005</v>
      </c>
      <c r="L149" s="39">
        <f t="shared" si="68"/>
        <v>0.23800000000000002</v>
      </c>
      <c r="M149" s="39">
        <f t="shared" si="79"/>
        <v>0.23899999999999999</v>
      </c>
      <c r="N149" s="3">
        <v>34</v>
      </c>
      <c r="O149" s="39">
        <f t="shared" si="69"/>
        <v>2.611764705882353E-2</v>
      </c>
      <c r="P149" s="39">
        <f t="shared" si="70"/>
        <v>3.1176470588235295E-2</v>
      </c>
      <c r="Q149" s="39">
        <f t="shared" si="71"/>
        <v>1.5029411764705883E-2</v>
      </c>
      <c r="R149" s="39">
        <f t="shared" si="72"/>
        <v>7.0294117647058821E-3</v>
      </c>
    </row>
    <row r="150" spans="5:18" ht="15" x14ac:dyDescent="0.2">
      <c r="E150" s="39" t="s">
        <v>120</v>
      </c>
      <c r="F150" s="39">
        <f t="shared" si="73"/>
        <v>2.4E-2</v>
      </c>
      <c r="G150" s="39">
        <f t="shared" si="74"/>
        <v>2.1000000000000001E-2</v>
      </c>
      <c r="H150" s="39">
        <f t="shared" si="75"/>
        <v>0.05</v>
      </c>
      <c r="I150" s="39">
        <f t="shared" si="76"/>
        <v>0.05</v>
      </c>
      <c r="J150" s="39">
        <f t="shared" si="77"/>
        <v>2.1000000000000001E-2</v>
      </c>
      <c r="K150" s="39">
        <f t="shared" si="78"/>
        <v>0</v>
      </c>
      <c r="L150" s="39">
        <f t="shared" si="68"/>
        <v>0</v>
      </c>
      <c r="M150" s="39">
        <f t="shared" si="79"/>
        <v>0</v>
      </c>
      <c r="N150" s="3">
        <v>11900</v>
      </c>
      <c r="O150" s="39">
        <f t="shared" si="69"/>
        <v>2.0168067226890756E-6</v>
      </c>
      <c r="P150" s="39">
        <f t="shared" si="70"/>
        <v>4.2016806722689077E-6</v>
      </c>
      <c r="Q150" s="39">
        <f t="shared" si="71"/>
        <v>1.7647058823529412E-6</v>
      </c>
      <c r="R150" s="39">
        <f t="shared" si="72"/>
        <v>0</v>
      </c>
    </row>
    <row r="151" spans="5:18" ht="15" x14ac:dyDescent="0.2">
      <c r="E151" s="39" t="s">
        <v>11</v>
      </c>
      <c r="F151" s="39">
        <f t="shared" si="73"/>
        <v>1.59</v>
      </c>
      <c r="G151" s="39">
        <f t="shared" si="74"/>
        <v>1.39</v>
      </c>
      <c r="H151" s="39">
        <f t="shared" si="75"/>
        <v>2.98</v>
      </c>
      <c r="I151" s="39">
        <f t="shared" si="76"/>
        <v>3.66</v>
      </c>
      <c r="J151" s="39">
        <f t="shared" si="77"/>
        <v>1.06</v>
      </c>
      <c r="K151" s="39">
        <f t="shared" si="78"/>
        <v>0.89200000000000002</v>
      </c>
      <c r="L151" s="39">
        <f t="shared" si="68"/>
        <v>0.61399999999999999</v>
      </c>
      <c r="M151" s="39">
        <f t="shared" si="79"/>
        <v>0.57999999999999996</v>
      </c>
      <c r="N151" s="3">
        <v>37</v>
      </c>
      <c r="O151" s="39">
        <f t="shared" si="69"/>
        <v>4.2972972972972978E-2</v>
      </c>
      <c r="P151" s="39">
        <f t="shared" si="70"/>
        <v>8.0540540540540537E-2</v>
      </c>
      <c r="Q151" s="39">
        <f t="shared" si="71"/>
        <v>2.8648648648648651E-2</v>
      </c>
      <c r="R151" s="39">
        <f t="shared" si="72"/>
        <v>1.6594594594594593E-2</v>
      </c>
    </row>
    <row r="152" spans="5:18" ht="15" x14ac:dyDescent="0.2">
      <c r="E152" s="39" t="s">
        <v>121</v>
      </c>
      <c r="F152" s="39">
        <f t="shared" si="73"/>
        <v>2.8999999999999998E-2</v>
      </c>
      <c r="G152" s="39">
        <f t="shared" si="74"/>
        <v>2.2000000000000002E-2</v>
      </c>
      <c r="H152" s="39">
        <f t="shared" si="75"/>
        <v>0.05</v>
      </c>
      <c r="I152" s="39">
        <f t="shared" si="76"/>
        <v>5.2999999999999999E-2</v>
      </c>
      <c r="J152" s="39">
        <f t="shared" si="77"/>
        <v>2.4E-2</v>
      </c>
      <c r="K152" s="39">
        <f t="shared" si="78"/>
        <v>2.2000000000000002E-2</v>
      </c>
      <c r="L152" s="39">
        <f t="shared" si="68"/>
        <v>1.4999999999999999E-2</v>
      </c>
      <c r="M152" s="39">
        <f t="shared" si="79"/>
        <v>1.4999999999999999E-2</v>
      </c>
      <c r="N152" s="3">
        <v>4.0999999999999996</v>
      </c>
      <c r="O152" s="39">
        <f t="shared" si="69"/>
        <v>7.0731707317073173E-3</v>
      </c>
      <c r="P152" s="39">
        <f t="shared" si="70"/>
        <v>1.2195121951219514E-2</v>
      </c>
      <c r="Q152" s="39">
        <f t="shared" si="71"/>
        <v>5.8536585365853667E-3</v>
      </c>
      <c r="R152" s="39">
        <f t="shared" si="72"/>
        <v>3.6585365853658539E-3</v>
      </c>
    </row>
    <row r="153" spans="5:18" ht="15" x14ac:dyDescent="0.2">
      <c r="E153" s="39" t="s">
        <v>122</v>
      </c>
      <c r="F153" s="39">
        <f t="shared" si="73"/>
        <v>3.65</v>
      </c>
      <c r="G153" s="39">
        <f t="shared" si="74"/>
        <v>2.65</v>
      </c>
      <c r="H153" s="39">
        <f t="shared" si="75"/>
        <v>6.13</v>
      </c>
      <c r="I153" s="39">
        <f t="shared" si="76"/>
        <v>4.84</v>
      </c>
      <c r="J153" s="39">
        <f t="shared" si="77"/>
        <v>3.41</v>
      </c>
      <c r="K153" s="39">
        <f t="shared" si="78"/>
        <v>2.86</v>
      </c>
      <c r="L153" s="39">
        <f t="shared" si="68"/>
        <v>2.42</v>
      </c>
      <c r="M153" s="39">
        <f t="shared" si="79"/>
        <v>2.2000000000000002</v>
      </c>
      <c r="N153" s="3">
        <v>14.4</v>
      </c>
      <c r="O153" s="39">
        <f t="shared" si="69"/>
        <v>0.25347222222222221</v>
      </c>
      <c r="P153" s="39">
        <f t="shared" si="70"/>
        <v>0.42569444444444443</v>
      </c>
      <c r="Q153" s="39">
        <f t="shared" si="71"/>
        <v>0.23680555555555555</v>
      </c>
      <c r="R153" s="39">
        <f t="shared" si="72"/>
        <v>0.16805555555555554</v>
      </c>
    </row>
    <row r="154" spans="5:18" ht="15" x14ac:dyDescent="0.2">
      <c r="E154" s="39" t="s">
        <v>123</v>
      </c>
      <c r="F154" s="39">
        <f t="shared" si="73"/>
        <v>0</v>
      </c>
      <c r="G154" s="39">
        <f t="shared" si="74"/>
        <v>5.6000000000000006E-4</v>
      </c>
      <c r="H154" s="39">
        <f t="shared" si="75"/>
        <v>0</v>
      </c>
      <c r="I154" s="39">
        <f t="shared" si="76"/>
        <v>0</v>
      </c>
      <c r="J154" s="39">
        <f t="shared" si="77"/>
        <v>0</v>
      </c>
      <c r="K154" s="39">
        <f t="shared" si="78"/>
        <v>0</v>
      </c>
      <c r="L154" s="39">
        <f t="shared" si="68"/>
        <v>0</v>
      </c>
      <c r="M154" s="39">
        <f t="shared" si="79"/>
        <v>0</v>
      </c>
      <c r="N154" s="3">
        <v>0.19</v>
      </c>
      <c r="O154" s="39">
        <f t="shared" si="69"/>
        <v>2.9473684210526317E-3</v>
      </c>
      <c r="P154" s="39">
        <f t="shared" si="70"/>
        <v>2.9473684210526317E-3</v>
      </c>
      <c r="Q154" s="39">
        <f t="shared" si="71"/>
        <v>0</v>
      </c>
      <c r="R154" s="39">
        <f t="shared" si="72"/>
        <v>0</v>
      </c>
    </row>
    <row r="155" spans="5:18" ht="15" x14ac:dyDescent="0.2">
      <c r="E155" s="39" t="s">
        <v>124</v>
      </c>
      <c r="F155" s="39">
        <f t="shared" si="73"/>
        <v>8.1399999999999997E-3</v>
      </c>
      <c r="G155" s="39">
        <f t="shared" si="74"/>
        <v>7.7600000000000004E-3</v>
      </c>
      <c r="H155" s="39">
        <f t="shared" si="75"/>
        <v>9.8200000000000006E-3</v>
      </c>
      <c r="I155" s="39">
        <f t="shared" si="76"/>
        <v>1.0500000000000001E-2</v>
      </c>
      <c r="J155" s="39">
        <f t="shared" si="77"/>
        <v>0</v>
      </c>
      <c r="K155" s="39">
        <f t="shared" si="78"/>
        <v>0</v>
      </c>
      <c r="L155" s="39">
        <f t="shared" si="68"/>
        <v>0</v>
      </c>
      <c r="M155" s="39">
        <f t="shared" si="79"/>
        <v>0</v>
      </c>
      <c r="N155" s="3">
        <v>6.5</v>
      </c>
      <c r="O155" s="39">
        <f t="shared" si="69"/>
        <v>1.2523076923076923E-3</v>
      </c>
      <c r="P155" s="39">
        <f t="shared" si="70"/>
        <v>1.5107692307692309E-3</v>
      </c>
      <c r="Q155" s="39">
        <f t="shared" si="71"/>
        <v>0</v>
      </c>
      <c r="R155" s="39">
        <f t="shared" si="72"/>
        <v>0</v>
      </c>
    </row>
    <row r="156" spans="5:18" ht="15" x14ac:dyDescent="0.2">
      <c r="E156" s="39" t="s">
        <v>125</v>
      </c>
      <c r="F156" s="39">
        <f t="shared" si="73"/>
        <v>0.38</v>
      </c>
      <c r="G156" s="39">
        <f t="shared" si="74"/>
        <v>0.42899999999999999</v>
      </c>
      <c r="H156" s="39">
        <f t="shared" si="75"/>
        <v>0.32200000000000001</v>
      </c>
      <c r="I156" s="39">
        <f t="shared" si="76"/>
        <v>0.222</v>
      </c>
      <c r="J156" s="39">
        <f t="shared" si="77"/>
        <v>0.11800000000000001</v>
      </c>
      <c r="K156" s="39">
        <f t="shared" si="78"/>
        <v>0.10400000000000001</v>
      </c>
      <c r="L156" s="39">
        <f t="shared" si="68"/>
        <v>6.6100000000000006E-2</v>
      </c>
      <c r="M156" s="39">
        <f t="shared" si="79"/>
        <v>6.4699999999999994E-2</v>
      </c>
      <c r="N156" s="3">
        <v>20</v>
      </c>
      <c r="O156" s="39">
        <f t="shared" si="69"/>
        <v>2.145E-2</v>
      </c>
      <c r="P156" s="39">
        <f t="shared" si="70"/>
        <v>2.145E-2</v>
      </c>
      <c r="Q156" s="39">
        <f t="shared" si="71"/>
        <v>5.9000000000000007E-3</v>
      </c>
      <c r="R156" s="39">
        <f t="shared" si="72"/>
        <v>3.3050000000000002E-3</v>
      </c>
    </row>
    <row r="157" spans="5:18" ht="15" x14ac:dyDescent="0.2">
      <c r="E157" s="39" t="s">
        <v>126</v>
      </c>
      <c r="F157" s="39">
        <f t="shared" si="73"/>
        <v>0</v>
      </c>
      <c r="G157" s="39">
        <f t="shared" si="74"/>
        <v>0</v>
      </c>
      <c r="H157" s="39">
        <f t="shared" si="75"/>
        <v>0</v>
      </c>
      <c r="I157" s="39">
        <f t="shared" si="76"/>
        <v>0</v>
      </c>
      <c r="J157" s="39">
        <f t="shared" si="77"/>
        <v>0</v>
      </c>
      <c r="K157" s="39">
        <f t="shared" si="78"/>
        <v>0</v>
      </c>
      <c r="L157" s="39">
        <f t="shared" si="68"/>
        <v>0</v>
      </c>
      <c r="M157" s="39">
        <f t="shared" si="79"/>
        <v>0</v>
      </c>
      <c r="N157" s="3">
        <v>2.4</v>
      </c>
      <c r="O157" s="39">
        <f t="shared" si="69"/>
        <v>0</v>
      </c>
      <c r="P157" s="39">
        <f t="shared" si="70"/>
        <v>0</v>
      </c>
      <c r="Q157" s="39">
        <f t="shared" si="71"/>
        <v>0</v>
      </c>
      <c r="R157" s="39">
        <f t="shared" si="72"/>
        <v>0</v>
      </c>
    </row>
    <row r="158" spans="5:18" ht="15" x14ac:dyDescent="0.2">
      <c r="E158" s="39" t="s">
        <v>127</v>
      </c>
      <c r="F158" s="39">
        <f t="shared" si="73"/>
        <v>3.0899999999999997E-2</v>
      </c>
      <c r="G158" s="39">
        <f t="shared" si="74"/>
        <v>3.6699999999999997E-2</v>
      </c>
      <c r="H158" s="39">
        <f t="shared" si="75"/>
        <v>4.87E-2</v>
      </c>
      <c r="I158" s="39">
        <f t="shared" si="76"/>
        <v>5.3499999999999999E-2</v>
      </c>
      <c r="J158" s="39">
        <f t="shared" si="77"/>
        <v>1.5700000000000002E-2</v>
      </c>
      <c r="K158" s="39">
        <f t="shared" si="78"/>
        <v>1.2500000000000001E-2</v>
      </c>
      <c r="L158" s="39">
        <f t="shared" si="68"/>
        <v>0</v>
      </c>
      <c r="M158" s="39">
        <f t="shared" si="79"/>
        <v>0</v>
      </c>
      <c r="N158" s="3">
        <v>5.6</v>
      </c>
      <c r="O158" s="39">
        <f t="shared" si="69"/>
        <v>6.5535714285714286E-3</v>
      </c>
      <c r="P158" s="39">
        <f t="shared" si="70"/>
        <v>8.696428571428572E-3</v>
      </c>
      <c r="Q158" s="39">
        <f t="shared" si="71"/>
        <v>2.8035714285714291E-3</v>
      </c>
      <c r="R158" s="39">
        <f t="shared" si="72"/>
        <v>0</v>
      </c>
    </row>
    <row r="159" spans="5:18" ht="15" x14ac:dyDescent="0.2">
      <c r="E159" s="39" t="s">
        <v>1</v>
      </c>
      <c r="F159" s="39">
        <f t="shared" si="73"/>
        <v>30.2</v>
      </c>
      <c r="G159" s="39">
        <f t="shared" si="74"/>
        <v>0</v>
      </c>
      <c r="H159" s="39">
        <f t="shared" si="75"/>
        <v>0</v>
      </c>
      <c r="I159" s="39">
        <f t="shared" si="76"/>
        <v>0</v>
      </c>
      <c r="J159" s="39">
        <f t="shared" si="77"/>
        <v>0</v>
      </c>
      <c r="K159" s="39">
        <f t="shared" si="78"/>
        <v>0</v>
      </c>
      <c r="L159" s="39">
        <f t="shared" si="68"/>
        <v>0</v>
      </c>
      <c r="M159" s="39">
        <f t="shared" si="79"/>
        <v>0</v>
      </c>
      <c r="N159" s="3">
        <v>28</v>
      </c>
      <c r="O159" s="39">
        <f t="shared" si="69"/>
        <v>1.0785714285714285</v>
      </c>
      <c r="P159" s="39">
        <f t="shared" si="70"/>
        <v>0</v>
      </c>
      <c r="Q159" s="39">
        <f t="shared" si="71"/>
        <v>0</v>
      </c>
      <c r="R159" s="39">
        <f t="shared" si="72"/>
        <v>0</v>
      </c>
    </row>
    <row r="160" spans="5:18" ht="15" x14ac:dyDescent="0.2">
      <c r="E160" s="39" t="s">
        <v>0</v>
      </c>
      <c r="F160" s="39">
        <f t="shared" si="73"/>
        <v>0</v>
      </c>
      <c r="G160" s="39">
        <f t="shared" si="74"/>
        <v>0</v>
      </c>
      <c r="H160" s="39">
        <f t="shared" si="75"/>
        <v>0</v>
      </c>
      <c r="I160" s="39">
        <f t="shared" si="76"/>
        <v>0</v>
      </c>
      <c r="J160" s="39">
        <f t="shared" si="77"/>
        <v>0</v>
      </c>
      <c r="K160" s="39">
        <f t="shared" si="78"/>
        <v>0</v>
      </c>
      <c r="L160" s="39">
        <f t="shared" si="68"/>
        <v>0</v>
      </c>
      <c r="M160" s="39">
        <f t="shared" si="79"/>
        <v>0</v>
      </c>
      <c r="N160" s="3">
        <v>170</v>
      </c>
      <c r="O160" s="39">
        <f t="shared" si="69"/>
        <v>0</v>
      </c>
      <c r="P160" s="39">
        <f t="shared" si="70"/>
        <v>0</v>
      </c>
      <c r="Q160" s="39">
        <f t="shared" si="71"/>
        <v>0</v>
      </c>
      <c r="R160" s="39">
        <f t="shared" si="72"/>
        <v>0</v>
      </c>
    </row>
    <row r="161" spans="5:18" ht="16" x14ac:dyDescent="0.2">
      <c r="E161" s="95" t="s">
        <v>99</v>
      </c>
      <c r="F161" s="97" t="s">
        <v>128</v>
      </c>
      <c r="G161" s="98"/>
      <c r="H161" s="98"/>
      <c r="I161" s="98"/>
      <c r="J161" s="98"/>
      <c r="K161" s="98"/>
      <c r="L161" s="98"/>
      <c r="M161" s="98"/>
      <c r="N161" s="59" t="s">
        <v>104</v>
      </c>
      <c r="O161" s="47" t="s">
        <v>105</v>
      </c>
      <c r="P161" s="48" t="s">
        <v>106</v>
      </c>
      <c r="Q161" s="48" t="s">
        <v>107</v>
      </c>
      <c r="R161" s="49" t="s">
        <v>108</v>
      </c>
    </row>
    <row r="162" spans="5:18" ht="15" x14ac:dyDescent="0.2">
      <c r="E162" s="96"/>
      <c r="F162" s="65">
        <v>120</v>
      </c>
      <c r="G162" s="65">
        <v>120</v>
      </c>
      <c r="H162" s="65">
        <v>120</v>
      </c>
      <c r="I162" s="65">
        <v>120</v>
      </c>
      <c r="J162" s="65">
        <v>120</v>
      </c>
      <c r="K162" s="65">
        <v>120</v>
      </c>
      <c r="L162" s="65">
        <v>120</v>
      </c>
      <c r="M162" s="65">
        <v>120</v>
      </c>
      <c r="N162" s="60" t="s">
        <v>113</v>
      </c>
      <c r="O162" s="47" t="s">
        <v>27</v>
      </c>
      <c r="P162" s="48" t="s">
        <v>27</v>
      </c>
      <c r="Q162" s="48" t="s">
        <v>27</v>
      </c>
      <c r="R162" s="49" t="s">
        <v>27</v>
      </c>
    </row>
    <row r="163" spans="5:18" ht="15" x14ac:dyDescent="0.2">
      <c r="E163" s="39" t="s">
        <v>114</v>
      </c>
      <c r="F163" s="39">
        <v>0</v>
      </c>
      <c r="G163" s="39">
        <v>0</v>
      </c>
      <c r="H163" s="39">
        <v>0</v>
      </c>
      <c r="I163" s="39">
        <v>0</v>
      </c>
      <c r="J163" s="39">
        <v>0</v>
      </c>
      <c r="K163" s="39">
        <v>0</v>
      </c>
      <c r="L163" s="39">
        <f>L23/$L$142</f>
        <v>0</v>
      </c>
      <c r="M163" s="39">
        <v>0</v>
      </c>
      <c r="N163" s="7">
        <v>5.7000000000000002E-2</v>
      </c>
      <c r="O163" s="39">
        <f>MAX(F163:G163)/N163</f>
        <v>0</v>
      </c>
      <c r="P163" s="39">
        <f>MAX(G163:H163)/N163</f>
        <v>0</v>
      </c>
      <c r="Q163" s="39">
        <f>MAX(J163:K163)/N163</f>
        <v>0</v>
      </c>
      <c r="R163" s="39">
        <f>MAX(L163:M163)/N163</f>
        <v>0</v>
      </c>
    </row>
    <row r="164" spans="5:18" ht="15" x14ac:dyDescent="0.2">
      <c r="E164" s="39" t="s">
        <v>115</v>
      </c>
      <c r="F164" s="39">
        <f>F4/$F$162</f>
        <v>3.0916666666666665E-2</v>
      </c>
      <c r="G164" s="39">
        <f>G4/$G$162</f>
        <v>3.3166666666666664E-2</v>
      </c>
      <c r="H164" s="39">
        <f>H4/$H$162</f>
        <v>2.5833333333333333E-2</v>
      </c>
      <c r="I164" s="39">
        <f>I4/$I$162</f>
        <v>3.3333333333333333E-2</v>
      </c>
      <c r="J164" s="39">
        <f>J4/$J$162</f>
        <v>1.1666666666666665E-2</v>
      </c>
      <c r="K164" s="39">
        <f>K4/$K$162</f>
        <v>1.1666666666666665E-2</v>
      </c>
      <c r="L164" s="39">
        <f>L4/$L$162</f>
        <v>3.7499999999999999E-2</v>
      </c>
      <c r="M164" s="39">
        <f>M4/$M$162</f>
        <v>8.0000000000000002E-3</v>
      </c>
      <c r="N164" s="7">
        <v>114.7</v>
      </c>
      <c r="O164" s="39">
        <f t="shared" ref="O164:O180" si="80">MAX(F164:G164)/N164</f>
        <v>2.8916012786980524E-4</v>
      </c>
      <c r="P164" s="39">
        <f t="shared" ref="P164:P180" si="81">MAX(G164:H164)/N164</f>
        <v>2.8916012786980524E-4</v>
      </c>
      <c r="Q164" s="39">
        <f t="shared" ref="Q164:Q180" si="82">MAX(J164:K164)/N164</f>
        <v>1.0171461784365008E-4</v>
      </c>
      <c r="R164" s="39">
        <f t="shared" ref="R164:R180" si="83">MAX(L164:M164)/N164</f>
        <v>3.2693984306887529E-4</v>
      </c>
    </row>
    <row r="165" spans="5:18" ht="15" x14ac:dyDescent="0.2">
      <c r="E165" s="39" t="s">
        <v>116</v>
      </c>
      <c r="F165" s="39">
        <f t="shared" ref="F165:F180" si="84">F5/$F$162</f>
        <v>0.24166666666666667</v>
      </c>
      <c r="G165" s="39">
        <f t="shared" ref="G165:G180" si="85">G5/$G$162</f>
        <v>0.2</v>
      </c>
      <c r="H165" s="39">
        <f t="shared" ref="H165:H180" si="86">H5/$H$162</f>
        <v>0.29166666666666669</v>
      </c>
      <c r="I165" s="39">
        <f t="shared" ref="I165:I180" si="87">I5/$I$162</f>
        <v>0.24166666666666667</v>
      </c>
      <c r="J165" s="39">
        <f t="shared" ref="J165:J180" si="88">J5/$J$162</f>
        <v>0</v>
      </c>
      <c r="K165" s="39">
        <f t="shared" ref="K165:K180" si="89">K5/$K$162</f>
        <v>0</v>
      </c>
      <c r="L165" s="39">
        <f t="shared" ref="L165:L180" si="90">L5/$L$162</f>
        <v>0</v>
      </c>
      <c r="M165" s="39">
        <f t="shared" ref="M165:M180" si="91">M5/$M$162</f>
        <v>0</v>
      </c>
      <c r="N165" s="6">
        <v>2900</v>
      </c>
      <c r="O165" s="39">
        <f t="shared" si="80"/>
        <v>8.3333333333333331E-5</v>
      </c>
      <c r="P165" s="39">
        <f t="shared" si="81"/>
        <v>1.0057471264367816E-4</v>
      </c>
      <c r="Q165" s="39">
        <f t="shared" si="82"/>
        <v>0</v>
      </c>
      <c r="R165" s="39">
        <f t="shared" si="83"/>
        <v>0</v>
      </c>
    </row>
    <row r="166" spans="5:18" ht="15" x14ac:dyDescent="0.2">
      <c r="E166" s="39" t="s">
        <v>117</v>
      </c>
      <c r="F166" s="39">
        <f t="shared" si="84"/>
        <v>2.0166666666666666E-2</v>
      </c>
      <c r="G166" s="39">
        <f t="shared" si="85"/>
        <v>1.7583333333333333E-2</v>
      </c>
      <c r="H166" s="39">
        <f t="shared" si="86"/>
        <v>2.5083333333333332E-2</v>
      </c>
      <c r="I166" s="39">
        <f t="shared" si="87"/>
        <v>2.6416666666666665E-2</v>
      </c>
      <c r="J166" s="39">
        <f t="shared" si="88"/>
        <v>8.8333333333333337E-3</v>
      </c>
      <c r="K166" s="39">
        <f t="shared" si="89"/>
        <v>6.6666666666666671E-3</v>
      </c>
      <c r="L166" s="39">
        <f t="shared" si="90"/>
        <v>0</v>
      </c>
      <c r="M166" s="39">
        <f t="shared" si="91"/>
        <v>0</v>
      </c>
      <c r="N166" s="3">
        <v>1.06</v>
      </c>
      <c r="O166" s="39">
        <f t="shared" si="80"/>
        <v>1.9025157232704402E-2</v>
      </c>
      <c r="P166" s="39">
        <f t="shared" si="81"/>
        <v>2.3663522012578615E-2</v>
      </c>
      <c r="Q166" s="39">
        <f t="shared" si="82"/>
        <v>8.3333333333333332E-3</v>
      </c>
      <c r="R166" s="39">
        <f t="shared" si="83"/>
        <v>0</v>
      </c>
    </row>
    <row r="167" spans="5:18" ht="15" x14ac:dyDescent="0.2">
      <c r="E167" s="39" t="s">
        <v>118</v>
      </c>
      <c r="F167" s="39">
        <f t="shared" si="84"/>
        <v>0.32500000000000001</v>
      </c>
      <c r="G167" s="39">
        <f t="shared" si="85"/>
        <v>0.27749999999999997</v>
      </c>
      <c r="H167" s="39">
        <f t="shared" si="86"/>
        <v>0.14333333333333334</v>
      </c>
      <c r="I167" s="39">
        <f t="shared" si="87"/>
        <v>0.05</v>
      </c>
      <c r="J167" s="39">
        <f t="shared" si="88"/>
        <v>0.11333333333333333</v>
      </c>
      <c r="K167" s="39">
        <f t="shared" si="89"/>
        <v>0.22583333333333336</v>
      </c>
      <c r="L167" s="39">
        <f t="shared" si="90"/>
        <v>0.15916666666666668</v>
      </c>
      <c r="M167" s="39">
        <f t="shared" si="91"/>
        <v>0.18000000000000002</v>
      </c>
      <c r="N167" s="3">
        <v>6.3</v>
      </c>
      <c r="O167" s="39">
        <f t="shared" si="80"/>
        <v>5.1587301587301591E-2</v>
      </c>
      <c r="P167" s="39">
        <f t="shared" si="81"/>
        <v>4.4047619047619044E-2</v>
      </c>
      <c r="Q167" s="39">
        <f t="shared" si="82"/>
        <v>3.5846560846560849E-2</v>
      </c>
      <c r="R167" s="39">
        <f t="shared" si="83"/>
        <v>2.8571428571428574E-2</v>
      </c>
    </row>
    <row r="168" spans="5:18" ht="15" x14ac:dyDescent="0.2">
      <c r="E168" s="39" t="s">
        <v>16</v>
      </c>
      <c r="F168" s="39">
        <f t="shared" si="84"/>
        <v>1.6666666666666666E-2</v>
      </c>
      <c r="G168" s="39">
        <f t="shared" si="85"/>
        <v>0</v>
      </c>
      <c r="H168" s="39">
        <f t="shared" si="86"/>
        <v>2.5833333333333333E-2</v>
      </c>
      <c r="I168" s="39">
        <f t="shared" si="87"/>
        <v>2.1666666666666667E-2</v>
      </c>
      <c r="J168" s="39">
        <f t="shared" si="88"/>
        <v>0</v>
      </c>
      <c r="K168" s="39">
        <f t="shared" si="89"/>
        <v>0</v>
      </c>
      <c r="L168" s="39">
        <f t="shared" si="90"/>
        <v>0</v>
      </c>
      <c r="M168" s="39">
        <f t="shared" si="91"/>
        <v>0</v>
      </c>
      <c r="N168" s="3">
        <v>1650</v>
      </c>
      <c r="O168" s="39">
        <f t="shared" si="80"/>
        <v>1.0101010101010101E-5</v>
      </c>
      <c r="P168" s="39">
        <f t="shared" si="81"/>
        <v>1.5656565656565655E-5</v>
      </c>
      <c r="Q168" s="39">
        <f t="shared" si="82"/>
        <v>0</v>
      </c>
      <c r="R168" s="39">
        <f t="shared" si="83"/>
        <v>0</v>
      </c>
    </row>
    <row r="169" spans="5:18" ht="15" x14ac:dyDescent="0.2">
      <c r="E169" s="39" t="s">
        <v>119</v>
      </c>
      <c r="F169" s="39">
        <f t="shared" si="84"/>
        <v>0.74</v>
      </c>
      <c r="G169" s="39">
        <f t="shared" si="85"/>
        <v>0.70833333333333337</v>
      </c>
      <c r="H169" s="39">
        <f t="shared" si="86"/>
        <v>0.8833333333333333</v>
      </c>
      <c r="I169" s="39">
        <f t="shared" si="87"/>
        <v>1.1000000000000001</v>
      </c>
      <c r="J169" s="39">
        <f t="shared" si="88"/>
        <v>0.42583333333333334</v>
      </c>
      <c r="K169" s="39">
        <f t="shared" si="89"/>
        <v>0.35583333333333333</v>
      </c>
      <c r="L169" s="39">
        <f t="shared" si="90"/>
        <v>0.19833333333333333</v>
      </c>
      <c r="M169" s="39">
        <f t="shared" si="91"/>
        <v>0.19916666666666666</v>
      </c>
      <c r="N169" s="3">
        <v>34</v>
      </c>
      <c r="O169" s="39">
        <f t="shared" si="80"/>
        <v>2.1764705882352939E-2</v>
      </c>
      <c r="P169" s="39">
        <f t="shared" si="81"/>
        <v>2.5980392156862743E-2</v>
      </c>
      <c r="Q169" s="39">
        <f t="shared" si="82"/>
        <v>1.252450980392157E-2</v>
      </c>
      <c r="R169" s="39">
        <f t="shared" si="83"/>
        <v>5.8578431372549016E-3</v>
      </c>
    </row>
    <row r="170" spans="5:18" ht="15" x14ac:dyDescent="0.2">
      <c r="E170" s="39" t="s">
        <v>120</v>
      </c>
      <c r="F170" s="39">
        <f t="shared" si="84"/>
        <v>0.02</v>
      </c>
      <c r="G170" s="39">
        <f t="shared" si="85"/>
        <v>1.7500000000000002E-2</v>
      </c>
      <c r="H170" s="39">
        <f t="shared" si="86"/>
        <v>4.1666666666666664E-2</v>
      </c>
      <c r="I170" s="39">
        <f t="shared" si="87"/>
        <v>4.1666666666666664E-2</v>
      </c>
      <c r="J170" s="39">
        <f t="shared" si="88"/>
        <v>1.7500000000000002E-2</v>
      </c>
      <c r="K170" s="39">
        <f t="shared" si="89"/>
        <v>0</v>
      </c>
      <c r="L170" s="39">
        <f t="shared" si="90"/>
        <v>0</v>
      </c>
      <c r="M170" s="39">
        <f t="shared" si="91"/>
        <v>0</v>
      </c>
      <c r="N170" s="3">
        <v>11900</v>
      </c>
      <c r="O170" s="39">
        <f t="shared" si="80"/>
        <v>1.680672268907563E-6</v>
      </c>
      <c r="P170" s="39">
        <f t="shared" si="81"/>
        <v>3.5014005602240893E-6</v>
      </c>
      <c r="Q170" s="39">
        <f t="shared" si="82"/>
        <v>1.4705882352941177E-6</v>
      </c>
      <c r="R170" s="39">
        <f t="shared" si="83"/>
        <v>0</v>
      </c>
    </row>
    <row r="171" spans="5:18" ht="15" x14ac:dyDescent="0.2">
      <c r="E171" s="39" t="s">
        <v>11</v>
      </c>
      <c r="F171" s="39">
        <f t="shared" si="84"/>
        <v>1.325</v>
      </c>
      <c r="G171" s="39">
        <f t="shared" si="85"/>
        <v>1.1583333333333334</v>
      </c>
      <c r="H171" s="39">
        <f t="shared" si="86"/>
        <v>2.4833333333333334</v>
      </c>
      <c r="I171" s="39">
        <f t="shared" si="87"/>
        <v>3.05</v>
      </c>
      <c r="J171" s="39">
        <f t="shared" si="88"/>
        <v>0.8833333333333333</v>
      </c>
      <c r="K171" s="39">
        <f t="shared" si="89"/>
        <v>0.7433333333333334</v>
      </c>
      <c r="L171" s="39">
        <f t="shared" si="90"/>
        <v>0.5116666666666666</v>
      </c>
      <c r="M171" s="39">
        <f t="shared" si="91"/>
        <v>0.48333333333333334</v>
      </c>
      <c r="N171" s="3">
        <v>37</v>
      </c>
      <c r="O171" s="39">
        <f t="shared" si="80"/>
        <v>3.5810810810810813E-2</v>
      </c>
      <c r="P171" s="39">
        <f t="shared" si="81"/>
        <v>6.7117117117117125E-2</v>
      </c>
      <c r="Q171" s="39">
        <f t="shared" si="82"/>
        <v>2.3873873873873873E-2</v>
      </c>
      <c r="R171" s="39">
        <f t="shared" si="83"/>
        <v>1.3828828828828826E-2</v>
      </c>
    </row>
    <row r="172" spans="5:18" ht="15" x14ac:dyDescent="0.2">
      <c r="E172" s="39" t="s">
        <v>121</v>
      </c>
      <c r="F172" s="39">
        <f t="shared" si="84"/>
        <v>2.4166666666666666E-2</v>
      </c>
      <c r="G172" s="39">
        <f t="shared" si="85"/>
        <v>1.8333333333333333E-2</v>
      </c>
      <c r="H172" s="39">
        <f t="shared" si="86"/>
        <v>4.1666666666666664E-2</v>
      </c>
      <c r="I172" s="39">
        <f t="shared" si="87"/>
        <v>4.4166666666666667E-2</v>
      </c>
      <c r="J172" s="39">
        <f t="shared" si="88"/>
        <v>0.02</v>
      </c>
      <c r="K172" s="39">
        <f t="shared" si="89"/>
        <v>1.8333333333333333E-2</v>
      </c>
      <c r="L172" s="39">
        <f t="shared" si="90"/>
        <v>1.2500000000000001E-2</v>
      </c>
      <c r="M172" s="39">
        <f t="shared" si="91"/>
        <v>1.2500000000000001E-2</v>
      </c>
      <c r="N172" s="3">
        <v>4.0999999999999996</v>
      </c>
      <c r="O172" s="39">
        <f t="shared" si="80"/>
        <v>5.8943089430894312E-3</v>
      </c>
      <c r="P172" s="39">
        <f t="shared" si="81"/>
        <v>1.016260162601626E-2</v>
      </c>
      <c r="Q172" s="39">
        <f t="shared" si="82"/>
        <v>4.8780487804878057E-3</v>
      </c>
      <c r="R172" s="39">
        <f t="shared" si="83"/>
        <v>3.0487804878048786E-3</v>
      </c>
    </row>
    <row r="173" spans="5:18" ht="15" x14ac:dyDescent="0.2">
      <c r="E173" s="39" t="s">
        <v>122</v>
      </c>
      <c r="F173" s="39">
        <f t="shared" si="84"/>
        <v>3.0416666666666665</v>
      </c>
      <c r="G173" s="39">
        <f t="shared" si="85"/>
        <v>2.2083333333333335</v>
      </c>
      <c r="H173" s="39">
        <f t="shared" si="86"/>
        <v>5.1083333333333334</v>
      </c>
      <c r="I173" s="39">
        <f t="shared" si="87"/>
        <v>4.0333333333333332</v>
      </c>
      <c r="J173" s="39">
        <f t="shared" si="88"/>
        <v>2.8416666666666668</v>
      </c>
      <c r="K173" s="39">
        <f t="shared" si="89"/>
        <v>2.3833333333333333</v>
      </c>
      <c r="L173" s="39">
        <f t="shared" si="90"/>
        <v>2.0166666666666666</v>
      </c>
      <c r="M173" s="39">
        <f t="shared" si="91"/>
        <v>1.8333333333333333</v>
      </c>
      <c r="N173" s="3">
        <v>14.4</v>
      </c>
      <c r="O173" s="39">
        <f t="shared" si="80"/>
        <v>0.21122685185185183</v>
      </c>
      <c r="P173" s="39">
        <f t="shared" si="81"/>
        <v>0.35474537037037035</v>
      </c>
      <c r="Q173" s="39">
        <f t="shared" si="82"/>
        <v>0.19733796296296297</v>
      </c>
      <c r="R173" s="39">
        <f t="shared" si="83"/>
        <v>0.14004629629629628</v>
      </c>
    </row>
    <row r="174" spans="5:18" ht="15" x14ac:dyDescent="0.2">
      <c r="E174" s="39" t="s">
        <v>123</v>
      </c>
      <c r="F174" s="39">
        <f t="shared" si="84"/>
        <v>0</v>
      </c>
      <c r="G174" s="39">
        <f t="shared" si="85"/>
        <v>4.6666666666666666E-4</v>
      </c>
      <c r="H174" s="39">
        <f t="shared" si="86"/>
        <v>0</v>
      </c>
      <c r="I174" s="39">
        <f t="shared" si="87"/>
        <v>0</v>
      </c>
      <c r="J174" s="39">
        <f t="shared" si="88"/>
        <v>0</v>
      </c>
      <c r="K174" s="39">
        <f t="shared" si="89"/>
        <v>0</v>
      </c>
      <c r="L174" s="39">
        <f t="shared" si="90"/>
        <v>0</v>
      </c>
      <c r="M174" s="39">
        <f t="shared" si="91"/>
        <v>0</v>
      </c>
      <c r="N174" s="3">
        <v>0.19</v>
      </c>
      <c r="O174" s="39">
        <f t="shared" si="80"/>
        <v>2.4561403508771931E-3</v>
      </c>
      <c r="P174" s="39">
        <f t="shared" si="81"/>
        <v>2.4561403508771931E-3</v>
      </c>
      <c r="Q174" s="39">
        <f t="shared" si="82"/>
        <v>0</v>
      </c>
      <c r="R174" s="39">
        <f t="shared" si="83"/>
        <v>0</v>
      </c>
    </row>
    <row r="175" spans="5:18" ht="15" x14ac:dyDescent="0.2">
      <c r="E175" s="39" t="s">
        <v>124</v>
      </c>
      <c r="F175" s="39">
        <f t="shared" si="84"/>
        <v>6.7833333333333331E-3</v>
      </c>
      <c r="G175" s="39">
        <f t="shared" si="85"/>
        <v>6.4666666666666666E-3</v>
      </c>
      <c r="H175" s="39">
        <f t="shared" si="86"/>
        <v>8.1833333333333324E-3</v>
      </c>
      <c r="I175" s="39">
        <f t="shared" si="87"/>
        <v>8.7500000000000008E-3</v>
      </c>
      <c r="J175" s="39">
        <f t="shared" si="88"/>
        <v>0</v>
      </c>
      <c r="K175" s="39">
        <f t="shared" si="89"/>
        <v>0</v>
      </c>
      <c r="L175" s="39">
        <f t="shared" si="90"/>
        <v>0</v>
      </c>
      <c r="M175" s="39">
        <f t="shared" si="91"/>
        <v>0</v>
      </c>
      <c r="N175" s="3">
        <v>6.5</v>
      </c>
      <c r="O175" s="39">
        <f t="shared" si="80"/>
        <v>1.0435897435897435E-3</v>
      </c>
      <c r="P175" s="39">
        <f t="shared" si="81"/>
        <v>1.2589743589743589E-3</v>
      </c>
      <c r="Q175" s="39">
        <f t="shared" si="82"/>
        <v>0</v>
      </c>
      <c r="R175" s="39">
        <f t="shared" si="83"/>
        <v>0</v>
      </c>
    </row>
    <row r="176" spans="5:18" ht="15" x14ac:dyDescent="0.2">
      <c r="E176" s="39" t="s">
        <v>125</v>
      </c>
      <c r="F176" s="39">
        <f t="shared" si="84"/>
        <v>0.31666666666666665</v>
      </c>
      <c r="G176" s="39">
        <f t="shared" si="85"/>
        <v>0.35749999999999998</v>
      </c>
      <c r="H176" s="39">
        <f t="shared" si="86"/>
        <v>0.26833333333333337</v>
      </c>
      <c r="I176" s="39">
        <f t="shared" si="87"/>
        <v>0.185</v>
      </c>
      <c r="J176" s="39">
        <f t="shared" si="88"/>
        <v>9.8333333333333342E-2</v>
      </c>
      <c r="K176" s="39">
        <f t="shared" si="89"/>
        <v>8.666666666666667E-2</v>
      </c>
      <c r="L176" s="39">
        <f t="shared" si="90"/>
        <v>5.5083333333333338E-2</v>
      </c>
      <c r="M176" s="39">
        <f t="shared" si="91"/>
        <v>5.3916666666666661E-2</v>
      </c>
      <c r="N176" s="3">
        <v>20</v>
      </c>
      <c r="O176" s="39">
        <f t="shared" si="80"/>
        <v>1.7874999999999999E-2</v>
      </c>
      <c r="P176" s="39">
        <f t="shared" si="81"/>
        <v>1.7874999999999999E-2</v>
      </c>
      <c r="Q176" s="39">
        <f t="shared" si="82"/>
        <v>4.9166666666666673E-3</v>
      </c>
      <c r="R176" s="39">
        <f t="shared" si="83"/>
        <v>2.7541666666666669E-3</v>
      </c>
    </row>
    <row r="177" spans="5:18" ht="15" x14ac:dyDescent="0.2">
      <c r="E177" s="39" t="s">
        <v>126</v>
      </c>
      <c r="F177" s="39">
        <f t="shared" si="84"/>
        <v>0</v>
      </c>
      <c r="G177" s="39">
        <f t="shared" si="85"/>
        <v>0</v>
      </c>
      <c r="H177" s="39">
        <f t="shared" si="86"/>
        <v>0</v>
      </c>
      <c r="I177" s="39">
        <f t="shared" si="87"/>
        <v>0</v>
      </c>
      <c r="J177" s="39">
        <f t="shared" si="88"/>
        <v>0</v>
      </c>
      <c r="K177" s="39">
        <f t="shared" si="89"/>
        <v>0</v>
      </c>
      <c r="L177" s="39">
        <f t="shared" si="90"/>
        <v>0</v>
      </c>
      <c r="M177" s="39">
        <f t="shared" si="91"/>
        <v>0</v>
      </c>
      <c r="N177" s="3">
        <v>2.4</v>
      </c>
      <c r="O177" s="39">
        <f t="shared" si="80"/>
        <v>0</v>
      </c>
      <c r="P177" s="39">
        <f t="shared" si="81"/>
        <v>0</v>
      </c>
      <c r="Q177" s="39">
        <f t="shared" si="82"/>
        <v>0</v>
      </c>
      <c r="R177" s="39">
        <f t="shared" si="83"/>
        <v>0</v>
      </c>
    </row>
    <row r="178" spans="5:18" ht="15" x14ac:dyDescent="0.2">
      <c r="E178" s="39" t="s">
        <v>127</v>
      </c>
      <c r="F178" s="39">
        <f t="shared" si="84"/>
        <v>2.5749999999999999E-2</v>
      </c>
      <c r="G178" s="39">
        <f t="shared" si="85"/>
        <v>3.0583333333333334E-2</v>
      </c>
      <c r="H178" s="39">
        <f t="shared" si="86"/>
        <v>4.0583333333333332E-2</v>
      </c>
      <c r="I178" s="39">
        <f t="shared" si="87"/>
        <v>4.4583333333333329E-2</v>
      </c>
      <c r="J178" s="39">
        <f t="shared" si="88"/>
        <v>1.3083333333333334E-2</v>
      </c>
      <c r="K178" s="39">
        <f t="shared" si="89"/>
        <v>1.0416666666666666E-2</v>
      </c>
      <c r="L178" s="39">
        <f t="shared" si="90"/>
        <v>0</v>
      </c>
      <c r="M178" s="39">
        <f t="shared" si="91"/>
        <v>0</v>
      </c>
      <c r="N178" s="3">
        <v>5.6</v>
      </c>
      <c r="O178" s="39">
        <f t="shared" si="80"/>
        <v>5.4613095238095245E-3</v>
      </c>
      <c r="P178" s="39">
        <f t="shared" si="81"/>
        <v>7.24702380952381E-3</v>
      </c>
      <c r="Q178" s="39">
        <f t="shared" si="82"/>
        <v>2.3363095238095239E-3</v>
      </c>
      <c r="R178" s="39">
        <f t="shared" si="83"/>
        <v>0</v>
      </c>
    </row>
    <row r="179" spans="5:18" ht="15" x14ac:dyDescent="0.2">
      <c r="E179" s="39" t="s">
        <v>1</v>
      </c>
      <c r="F179" s="39">
        <f t="shared" si="84"/>
        <v>25.166666666666668</v>
      </c>
      <c r="G179" s="39">
        <f t="shared" si="85"/>
        <v>0</v>
      </c>
      <c r="H179" s="39">
        <f t="shared" si="86"/>
        <v>0</v>
      </c>
      <c r="I179" s="39">
        <f t="shared" si="87"/>
        <v>0</v>
      </c>
      <c r="J179" s="39">
        <f t="shared" si="88"/>
        <v>0</v>
      </c>
      <c r="K179" s="39">
        <f t="shared" si="89"/>
        <v>0</v>
      </c>
      <c r="L179" s="39">
        <f t="shared" si="90"/>
        <v>0</v>
      </c>
      <c r="M179" s="39">
        <f t="shared" si="91"/>
        <v>0</v>
      </c>
      <c r="N179" s="3">
        <v>28</v>
      </c>
      <c r="O179" s="39">
        <f t="shared" si="80"/>
        <v>0.89880952380952384</v>
      </c>
      <c r="P179" s="39">
        <f t="shared" si="81"/>
        <v>0</v>
      </c>
      <c r="Q179" s="39">
        <f t="shared" si="82"/>
        <v>0</v>
      </c>
      <c r="R179" s="39">
        <f t="shared" si="83"/>
        <v>0</v>
      </c>
    </row>
    <row r="180" spans="5:18" ht="15" x14ac:dyDescent="0.2">
      <c r="E180" s="39" t="s">
        <v>0</v>
      </c>
      <c r="F180" s="39">
        <f t="shared" si="84"/>
        <v>0</v>
      </c>
      <c r="G180" s="39">
        <f t="shared" si="85"/>
        <v>0</v>
      </c>
      <c r="H180" s="39">
        <f t="shared" si="86"/>
        <v>0</v>
      </c>
      <c r="I180" s="39">
        <f t="shared" si="87"/>
        <v>0</v>
      </c>
      <c r="J180" s="39">
        <f t="shared" si="88"/>
        <v>0</v>
      </c>
      <c r="K180" s="39">
        <f t="shared" si="89"/>
        <v>0</v>
      </c>
      <c r="L180" s="39">
        <f t="shared" si="90"/>
        <v>0</v>
      </c>
      <c r="M180" s="39">
        <f t="shared" si="91"/>
        <v>0</v>
      </c>
      <c r="N180" s="3">
        <v>170</v>
      </c>
      <c r="O180" s="39">
        <f t="shared" si="80"/>
        <v>0</v>
      </c>
      <c r="P180" s="39">
        <f t="shared" si="81"/>
        <v>0</v>
      </c>
      <c r="Q180" s="39">
        <f t="shared" si="82"/>
        <v>0</v>
      </c>
      <c r="R180" s="39">
        <f t="shared" si="83"/>
        <v>0</v>
      </c>
    </row>
  </sheetData>
  <mergeCells count="20">
    <mergeCell ref="A37:A39"/>
    <mergeCell ref="C1:D1"/>
    <mergeCell ref="S1:S2"/>
    <mergeCell ref="E21:E22"/>
    <mergeCell ref="F21:M21"/>
    <mergeCell ref="A31:A33"/>
    <mergeCell ref="E41:E42"/>
    <mergeCell ref="F41:M41"/>
    <mergeCell ref="E61:E62"/>
    <mergeCell ref="F61:M61"/>
    <mergeCell ref="E81:E82"/>
    <mergeCell ref="F81:M81"/>
    <mergeCell ref="E161:E162"/>
    <mergeCell ref="F161:M161"/>
    <mergeCell ref="E101:E102"/>
    <mergeCell ref="F101:M101"/>
    <mergeCell ref="E121:E122"/>
    <mergeCell ref="F121:M121"/>
    <mergeCell ref="E141:E142"/>
    <mergeCell ref="F141:M141"/>
  </mergeCells>
  <conditionalFormatting sqref="F3:M20">
    <cfRule type="cellIs" dxfId="61" priority="1" operator="equal">
      <formula>0</formula>
    </cfRule>
  </conditionalFormatting>
  <conditionalFormatting sqref="O3:O19">
    <cfRule type="containsText" dxfId="60" priority="20" operator="containsText" text="&gt;1">
      <formula>NOT(ISERROR(SEARCH("&gt;1",O3)))</formula>
    </cfRule>
  </conditionalFormatting>
  <conditionalFormatting sqref="O3:R5">
    <cfRule type="cellIs" dxfId="59" priority="23" operator="greaterThan">
      <formula>1</formula>
    </cfRule>
  </conditionalFormatting>
  <conditionalFormatting sqref="O3:R19">
    <cfRule type="colorScale" priority="21">
      <colorScale>
        <cfvo type="num" val="&quot;&lt;1&quot;"/>
        <cfvo type="num" val="&quot;&gt;1&quot;"/>
        <color theme="9"/>
        <color theme="5" tint="-0.249977111117893"/>
      </colorScale>
    </cfRule>
    <cfRule type="colorScale" priority="22">
      <colorScale>
        <cfvo type="num" val="&quot;&lt;1&quot;"/>
        <cfvo type="num" val="&quot;&gt;1&quot;"/>
        <color theme="9"/>
        <color theme="5" tint="0.39997558519241921"/>
      </colorScale>
    </cfRule>
  </conditionalFormatting>
  <conditionalFormatting sqref="O3:R20">
    <cfRule type="cellIs" dxfId="58" priority="9" operator="greaterThan">
      <formula>1</formula>
    </cfRule>
    <cfRule type="cellIs" dxfId="57" priority="8" operator="lessThan">
      <formula>1</formula>
    </cfRule>
  </conditionalFormatting>
  <conditionalFormatting sqref="O23:R40">
    <cfRule type="cellIs" dxfId="56" priority="7" operator="greaterThan">
      <formula>1</formula>
    </cfRule>
    <cfRule type="cellIs" dxfId="55" priority="6" operator="lessThan">
      <formula>1</formula>
    </cfRule>
  </conditionalFormatting>
  <conditionalFormatting sqref="O43:R60">
    <cfRule type="cellIs" dxfId="54" priority="18" operator="lessThan">
      <formula>1</formula>
    </cfRule>
    <cfRule type="cellIs" dxfId="53" priority="19" operator="greaterThan">
      <formula>1</formula>
    </cfRule>
  </conditionalFormatting>
  <conditionalFormatting sqref="O63:R80">
    <cfRule type="cellIs" dxfId="52" priority="16" operator="lessThan">
      <formula>1</formula>
    </cfRule>
    <cfRule type="cellIs" dxfId="51" priority="17" operator="greaterThan">
      <formula>1</formula>
    </cfRule>
  </conditionalFormatting>
  <conditionalFormatting sqref="O83:R100">
    <cfRule type="cellIs" dxfId="50" priority="14" operator="lessThan">
      <formula>1</formula>
    </cfRule>
    <cfRule type="cellIs" dxfId="49" priority="15" operator="greaterThan">
      <formula>1</formula>
    </cfRule>
  </conditionalFormatting>
  <conditionalFormatting sqref="O103:R120">
    <cfRule type="cellIs" dxfId="48" priority="12" operator="lessThan">
      <formula>1</formula>
    </cfRule>
    <cfRule type="cellIs" dxfId="47" priority="13" operator="greaterThan">
      <formula>1</formula>
    </cfRule>
  </conditionalFormatting>
  <conditionalFormatting sqref="O123:R140">
    <cfRule type="cellIs" dxfId="46" priority="10" operator="lessThan">
      <formula>1</formula>
    </cfRule>
    <cfRule type="cellIs" dxfId="45" priority="11" operator="greaterThan">
      <formula>1</formula>
    </cfRule>
  </conditionalFormatting>
  <conditionalFormatting sqref="O143:R160">
    <cfRule type="cellIs" dxfId="44" priority="4" operator="lessThan">
      <formula>1</formula>
    </cfRule>
    <cfRule type="cellIs" dxfId="43" priority="5" operator="greaterThan">
      <formula>1</formula>
    </cfRule>
  </conditionalFormatting>
  <conditionalFormatting sqref="O163:R180">
    <cfRule type="cellIs" dxfId="42" priority="3" operator="greaterThan">
      <formula>1</formula>
    </cfRule>
    <cfRule type="cellIs" dxfId="41" priority="2" operator="lessThan">
      <formula>1</formula>
    </cfRule>
  </conditionalFormatting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55B1A-787A-4FF1-BA10-22705D710A16}">
  <dimension ref="A1:U85"/>
  <sheetViews>
    <sheetView zoomScaleNormal="70" workbookViewId="0">
      <selection activeCell="E22" sqref="E22"/>
    </sheetView>
  </sheetViews>
  <sheetFormatPr baseColWidth="10" defaultColWidth="8.83203125" defaultRowHeight="15" x14ac:dyDescent="0.2"/>
  <cols>
    <col min="1" max="1" width="17.33203125" bestFit="1" customWidth="1"/>
    <col min="2" max="2" width="14" customWidth="1"/>
    <col min="3" max="3" width="16.5" customWidth="1"/>
    <col min="4" max="4" width="20.1640625" customWidth="1"/>
    <col min="5" max="5" width="18.6640625" customWidth="1"/>
    <col min="6" max="6" width="17.1640625" customWidth="1"/>
    <col min="7" max="7" width="15.5" customWidth="1"/>
    <col min="8" max="9" width="8.83203125" customWidth="1"/>
    <col min="13" max="13" width="14" bestFit="1" customWidth="1"/>
    <col min="14" max="14" width="10.1640625" bestFit="1" customWidth="1"/>
    <col min="15" max="15" width="20.1640625" bestFit="1" customWidth="1"/>
    <col min="16" max="16" width="18.6640625" bestFit="1" customWidth="1"/>
    <col min="17" max="17" width="17.1640625" bestFit="1" customWidth="1"/>
    <col min="18" max="18" width="15.5" bestFit="1" customWidth="1"/>
  </cols>
  <sheetData>
    <row r="1" spans="1:7" x14ac:dyDescent="0.2">
      <c r="A1" s="91" t="s">
        <v>69</v>
      </c>
      <c r="B1" s="92"/>
      <c r="C1" s="92"/>
      <c r="D1" s="92"/>
      <c r="E1" s="92"/>
      <c r="F1" s="92"/>
    </row>
    <row r="2" spans="1:7" x14ac:dyDescent="0.2">
      <c r="A2" s="1" t="s">
        <v>68</v>
      </c>
      <c r="B2" s="1">
        <v>0.2</v>
      </c>
      <c r="C2" s="1" t="s">
        <v>7</v>
      </c>
      <c r="D2" s="1"/>
      <c r="E2" s="1"/>
      <c r="F2" s="1"/>
    </row>
    <row r="3" spans="1:7" x14ac:dyDescent="0.2">
      <c r="A3" s="1" t="s">
        <v>64</v>
      </c>
      <c r="B3" s="1">
        <v>0.1</v>
      </c>
      <c r="C3" s="1" t="s">
        <v>7</v>
      </c>
      <c r="D3" s="15"/>
      <c r="E3" s="15"/>
      <c r="F3" s="15"/>
      <c r="G3" s="15"/>
    </row>
    <row r="4" spans="1:7" x14ac:dyDescent="0.2">
      <c r="A4" s="1" t="s">
        <v>62</v>
      </c>
      <c r="B4" s="1">
        <v>0.3</v>
      </c>
      <c r="C4" s="1" t="s">
        <v>7</v>
      </c>
      <c r="D4" s="1"/>
      <c r="E4" s="1"/>
      <c r="F4" s="1"/>
    </row>
    <row r="5" spans="1:7" x14ac:dyDescent="0.2">
      <c r="A5" s="1" t="s">
        <v>60</v>
      </c>
      <c r="B5" s="1">
        <v>6.0000000000000001E-3</v>
      </c>
      <c r="C5" s="1" t="s">
        <v>7</v>
      </c>
      <c r="D5" s="1"/>
      <c r="E5" s="1"/>
      <c r="F5" s="1"/>
    </row>
    <row r="6" spans="1:7" x14ac:dyDescent="0.2">
      <c r="A6" s="1" t="s">
        <v>55</v>
      </c>
      <c r="B6" s="1">
        <v>1720</v>
      </c>
      <c r="C6" s="1" t="s">
        <v>47</v>
      </c>
    </row>
    <row r="7" spans="1:7" x14ac:dyDescent="0.2">
      <c r="A7" s="1" t="s">
        <v>52</v>
      </c>
      <c r="B7" s="1">
        <v>1720</v>
      </c>
      <c r="C7" s="1" t="s">
        <v>47</v>
      </c>
    </row>
    <row r="8" spans="1:7" x14ac:dyDescent="0.2">
      <c r="A8" s="1" t="s">
        <v>49</v>
      </c>
      <c r="B8" s="1">
        <v>1780</v>
      </c>
      <c r="C8" s="1" t="s">
        <v>47</v>
      </c>
      <c r="D8" s="1"/>
      <c r="E8" s="1"/>
      <c r="F8" s="1"/>
    </row>
    <row r="9" spans="1:7" x14ac:dyDescent="0.2">
      <c r="A9" s="1" t="s">
        <v>48</v>
      </c>
      <c r="B9" s="1">
        <v>1380</v>
      </c>
      <c r="C9" s="1" t="s">
        <v>47</v>
      </c>
      <c r="D9" s="1"/>
      <c r="E9" s="1"/>
      <c r="F9" s="1"/>
    </row>
    <row r="10" spans="1:7" ht="16" thickBot="1" x14ac:dyDescent="0.25">
      <c r="A10" s="105" t="s">
        <v>95</v>
      </c>
      <c r="B10" s="106"/>
      <c r="C10" s="106"/>
      <c r="D10" s="106"/>
      <c r="E10" s="106"/>
      <c r="F10" s="106"/>
    </row>
    <row r="11" spans="1:7" x14ac:dyDescent="0.2">
      <c r="A11" s="107" t="s">
        <v>8</v>
      </c>
      <c r="B11" s="107"/>
      <c r="C11" s="107"/>
      <c r="D11" s="107" t="s">
        <v>97</v>
      </c>
      <c r="E11" s="107"/>
      <c r="F11" s="107"/>
    </row>
    <row r="12" spans="1:7" x14ac:dyDescent="0.2">
      <c r="A12" s="1" t="s">
        <v>64</v>
      </c>
      <c r="B12" s="1">
        <v>0.8</v>
      </c>
      <c r="C12" s="1" t="s">
        <v>45</v>
      </c>
      <c r="D12" s="1" t="s">
        <v>64</v>
      </c>
      <c r="E12" s="1">
        <v>0.8</v>
      </c>
      <c r="F12" s="1" t="s">
        <v>45</v>
      </c>
      <c r="G12" s="12"/>
    </row>
    <row r="13" spans="1:7" x14ac:dyDescent="0.2">
      <c r="A13" s="1" t="s">
        <v>62</v>
      </c>
      <c r="B13" s="1">
        <v>1</v>
      </c>
      <c r="C13" s="1" t="s">
        <v>7</v>
      </c>
      <c r="D13" s="1" t="s">
        <v>62</v>
      </c>
      <c r="E13" s="1">
        <v>1</v>
      </c>
      <c r="F13" s="1" t="s">
        <v>7</v>
      </c>
      <c r="G13" s="12"/>
    </row>
    <row r="14" spans="1:7" x14ac:dyDescent="0.2">
      <c r="A14" s="1" t="s">
        <v>78</v>
      </c>
      <c r="B14" s="1">
        <v>4</v>
      </c>
      <c r="C14" s="1" t="s">
        <v>7</v>
      </c>
      <c r="D14" s="1" t="s">
        <v>78</v>
      </c>
      <c r="E14" s="1">
        <v>5</v>
      </c>
      <c r="F14" s="1" t="s">
        <v>7</v>
      </c>
      <c r="G14" s="12"/>
    </row>
    <row r="15" spans="1:7" x14ac:dyDescent="0.2">
      <c r="A15" s="1" t="s">
        <v>79</v>
      </c>
      <c r="B15" s="1">
        <v>8</v>
      </c>
      <c r="C15" s="1" t="s">
        <v>7</v>
      </c>
      <c r="D15" s="1" t="s">
        <v>79</v>
      </c>
      <c r="E15" s="1">
        <v>10</v>
      </c>
      <c r="F15" s="1" t="s">
        <v>7</v>
      </c>
      <c r="G15" s="12"/>
    </row>
    <row r="16" spans="1:7" x14ac:dyDescent="0.2">
      <c r="A16" s="1" t="s">
        <v>70</v>
      </c>
      <c r="B16" s="1">
        <f>(B15+B14)*B12/2</f>
        <v>4.8000000000000007</v>
      </c>
      <c r="C16" s="1" t="s">
        <v>34</v>
      </c>
      <c r="D16" s="1" t="s">
        <v>83</v>
      </c>
      <c r="E16" s="1">
        <f>(E15+E14)*B12/2</f>
        <v>6</v>
      </c>
      <c r="F16" s="1" t="s">
        <v>34</v>
      </c>
      <c r="G16" s="12"/>
    </row>
    <row r="17" spans="1:7" x14ac:dyDescent="0.2">
      <c r="A17" s="1" t="s">
        <v>71</v>
      </c>
      <c r="B17" s="1">
        <f>(B14+B15)*B13/2</f>
        <v>6</v>
      </c>
      <c r="C17" s="1" t="s">
        <v>34</v>
      </c>
      <c r="D17" s="1" t="s">
        <v>80</v>
      </c>
      <c r="E17" s="1">
        <f>(E14+E15)*B13/2</f>
        <v>7.5</v>
      </c>
      <c r="F17" s="1" t="s">
        <v>34</v>
      </c>
      <c r="G17" s="1"/>
    </row>
    <row r="18" spans="1:7" x14ac:dyDescent="0.2">
      <c r="A18" s="1" t="s">
        <v>37</v>
      </c>
      <c r="B18" s="1">
        <v>1</v>
      </c>
      <c r="C18" s="1" t="s">
        <v>7</v>
      </c>
      <c r="D18" s="1" t="s">
        <v>37</v>
      </c>
      <c r="E18" s="1">
        <v>1</v>
      </c>
      <c r="F18" s="1" t="s">
        <v>7</v>
      </c>
      <c r="G18" s="1"/>
    </row>
    <row r="19" spans="1:7" x14ac:dyDescent="0.2">
      <c r="A19" s="1" t="s">
        <v>72</v>
      </c>
      <c r="B19" s="1">
        <f>B16*B18</f>
        <v>4.8000000000000007</v>
      </c>
      <c r="C19" s="1" t="s">
        <v>33</v>
      </c>
      <c r="D19" s="1" t="s">
        <v>81</v>
      </c>
      <c r="E19" s="1">
        <f>E16*E18</f>
        <v>6</v>
      </c>
      <c r="F19" s="1" t="s">
        <v>33</v>
      </c>
      <c r="G19" s="1"/>
    </row>
    <row r="20" spans="1:7" x14ac:dyDescent="0.2">
      <c r="A20" s="1" t="s">
        <v>73</v>
      </c>
      <c r="B20" s="1">
        <f>B17*B18</f>
        <v>6</v>
      </c>
      <c r="C20" s="1" t="s">
        <v>34</v>
      </c>
      <c r="D20" s="1" t="s">
        <v>82</v>
      </c>
      <c r="E20" s="1">
        <f>E17*E18</f>
        <v>7.5</v>
      </c>
      <c r="F20" s="1" t="s">
        <v>34</v>
      </c>
      <c r="G20" s="1"/>
    </row>
    <row r="21" spans="1:7" ht="16" thickBot="1" x14ac:dyDescent="0.25">
      <c r="A21" s="105" t="s">
        <v>96</v>
      </c>
      <c r="B21" s="106"/>
      <c r="C21" s="106"/>
      <c r="D21" s="106"/>
      <c r="E21" s="106"/>
      <c r="F21" s="106"/>
      <c r="G21" s="1"/>
    </row>
    <row r="22" spans="1:7" x14ac:dyDescent="0.2">
      <c r="A22" s="1" t="s">
        <v>74</v>
      </c>
      <c r="B22" s="1">
        <v>2.4</v>
      </c>
      <c r="C22" s="1" t="s">
        <v>89</v>
      </c>
      <c r="D22" s="1" t="s">
        <v>36</v>
      </c>
      <c r="E22" s="1">
        <v>0.2</v>
      </c>
      <c r="F22" s="1" t="s">
        <v>89</v>
      </c>
    </row>
    <row r="23" spans="1:7" x14ac:dyDescent="0.2">
      <c r="A23" s="1" t="s">
        <v>91</v>
      </c>
      <c r="B23" s="17">
        <f>B22*B16</f>
        <v>11.520000000000001</v>
      </c>
      <c r="C23" s="1" t="s">
        <v>53</v>
      </c>
      <c r="D23" s="1" t="s">
        <v>92</v>
      </c>
      <c r="E23" s="17">
        <f>E22*B16</f>
        <v>0.96000000000000019</v>
      </c>
      <c r="F23" s="1" t="s">
        <v>53</v>
      </c>
    </row>
    <row r="24" spans="1:7" x14ac:dyDescent="0.2">
      <c r="A24" s="1" t="s">
        <v>90</v>
      </c>
      <c r="B24" s="17">
        <f>B22*B17</f>
        <v>14.399999999999999</v>
      </c>
      <c r="C24" s="1" t="s">
        <v>53</v>
      </c>
      <c r="D24" s="1" t="s">
        <v>94</v>
      </c>
      <c r="E24" s="82">
        <f>E22*B17</f>
        <v>1.2000000000000002</v>
      </c>
      <c r="F24" s="1" t="s">
        <v>53</v>
      </c>
    </row>
    <row r="25" spans="1:7" x14ac:dyDescent="0.2">
      <c r="A25" s="1" t="s">
        <v>140</v>
      </c>
      <c r="B25" s="17">
        <f>B23*24/B19</f>
        <v>57.599999999999994</v>
      </c>
      <c r="C25" s="1"/>
      <c r="D25" s="1" t="s">
        <v>141</v>
      </c>
      <c r="E25" s="17">
        <f>E24*24/B20</f>
        <v>4.8000000000000007</v>
      </c>
      <c r="F25" s="1"/>
    </row>
    <row r="26" spans="1:7" x14ac:dyDescent="0.2">
      <c r="A26" s="12" t="s">
        <v>35</v>
      </c>
      <c r="B26" s="12">
        <f>(0.05+0.1)/2</f>
        <v>7.5000000000000011E-2</v>
      </c>
      <c r="C26" s="12" t="s">
        <v>15</v>
      </c>
      <c r="D26" s="18" t="s">
        <v>86</v>
      </c>
      <c r="E26" s="18">
        <f>B26*3600</f>
        <v>270.00000000000006</v>
      </c>
      <c r="F26" s="18" t="s">
        <v>89</v>
      </c>
    </row>
    <row r="27" spans="1:7" x14ac:dyDescent="0.2">
      <c r="A27" s="12" t="s">
        <v>84</v>
      </c>
      <c r="B27" s="12">
        <f>B26*E17</f>
        <v>0.56250000000000011</v>
      </c>
      <c r="C27" s="12" t="s">
        <v>12</v>
      </c>
      <c r="D27" s="18" t="s">
        <v>88</v>
      </c>
      <c r="E27" s="18">
        <f>B27*3600</f>
        <v>2025.0000000000005</v>
      </c>
      <c r="F27" s="18" t="s">
        <v>53</v>
      </c>
    </row>
    <row r="28" spans="1:7" x14ac:dyDescent="0.2">
      <c r="A28" s="12" t="s">
        <v>85</v>
      </c>
      <c r="B28" s="16">
        <f>B26*E19</f>
        <v>0.45000000000000007</v>
      </c>
      <c r="C28" s="12" t="s">
        <v>12</v>
      </c>
      <c r="D28" s="18" t="s">
        <v>87</v>
      </c>
      <c r="E28" s="19">
        <f>B28*60*60</f>
        <v>1620.0000000000002</v>
      </c>
      <c r="F28" s="18" t="s">
        <v>53</v>
      </c>
    </row>
    <row r="29" spans="1:7" x14ac:dyDescent="0.2">
      <c r="A29" s="14" t="s">
        <v>75</v>
      </c>
      <c r="B29" s="2">
        <v>2.0000000000000002E-5</v>
      </c>
      <c r="C29" s="1" t="s">
        <v>21</v>
      </c>
      <c r="D29" s="14" t="s">
        <v>93</v>
      </c>
      <c r="E29" s="2">
        <f>B29*60</f>
        <v>1.2000000000000001E-3</v>
      </c>
      <c r="F29" s="1" t="s">
        <v>53</v>
      </c>
    </row>
    <row r="30" spans="1:7" x14ac:dyDescent="0.2">
      <c r="A30" s="1" t="s">
        <v>173</v>
      </c>
      <c r="B30" s="17">
        <f>E28*24/E19</f>
        <v>6480.0000000000009</v>
      </c>
      <c r="C30" s="1"/>
      <c r="D30" s="1" t="s">
        <v>174</v>
      </c>
      <c r="E30" s="17">
        <f>E27*24/E20</f>
        <v>6480.0000000000018</v>
      </c>
      <c r="F30" s="1"/>
    </row>
    <row r="31" spans="1:7" x14ac:dyDescent="0.2">
      <c r="A31" s="14" t="s">
        <v>76</v>
      </c>
      <c r="B31" s="2">
        <f>B29*60000</f>
        <v>1.2000000000000002</v>
      </c>
      <c r="C31" s="1" t="s">
        <v>77</v>
      </c>
      <c r="D31" s="14"/>
      <c r="E31" s="2"/>
      <c r="F31" s="1"/>
    </row>
    <row r="32" spans="1:7" ht="16" thickBot="1" x14ac:dyDescent="0.25">
      <c r="A32" s="105" t="s">
        <v>98</v>
      </c>
      <c r="B32" s="106"/>
      <c r="C32" s="106"/>
      <c r="D32" s="106"/>
      <c r="E32" s="106"/>
      <c r="F32" s="106"/>
    </row>
    <row r="33" spans="1:21" x14ac:dyDescent="0.2">
      <c r="A33" s="1" t="s">
        <v>67</v>
      </c>
      <c r="B33" s="1" t="s">
        <v>66</v>
      </c>
      <c r="C33" s="1" t="s">
        <v>65</v>
      </c>
      <c r="D33" s="1"/>
      <c r="E33" s="1"/>
      <c r="F33" s="1"/>
    </row>
    <row r="34" spans="1:21" x14ac:dyDescent="0.2">
      <c r="A34" s="1" t="s">
        <v>63</v>
      </c>
      <c r="B34" s="1">
        <v>0.3</v>
      </c>
      <c r="C34" s="1" t="s">
        <v>58</v>
      </c>
      <c r="D34" s="1"/>
      <c r="E34" s="1"/>
      <c r="F34" s="1"/>
    </row>
    <row r="35" spans="1:21" x14ac:dyDescent="0.2">
      <c r="A35" s="1" t="s">
        <v>61</v>
      </c>
      <c r="B35" s="1">
        <f>B3*B5*B8*B18</f>
        <v>1.0680000000000001</v>
      </c>
      <c r="C35" s="1" t="s">
        <v>58</v>
      </c>
    </row>
    <row r="36" spans="1:21" x14ac:dyDescent="0.2">
      <c r="A36" s="1" t="s">
        <v>59</v>
      </c>
      <c r="B36" s="1">
        <f>B4*B8*B5*B18</f>
        <v>3.2040000000000002</v>
      </c>
      <c r="C36" s="1" t="s">
        <v>58</v>
      </c>
    </row>
    <row r="37" spans="1:21" x14ac:dyDescent="0.2">
      <c r="A37" s="1" t="s">
        <v>57</v>
      </c>
      <c r="B37" s="1">
        <v>9</v>
      </c>
      <c r="C37" s="1" t="s">
        <v>56</v>
      </c>
      <c r="D37" s="14">
        <f>B37/1000</f>
        <v>8.9999999999999993E-3</v>
      </c>
      <c r="E37" t="s">
        <v>19</v>
      </c>
    </row>
    <row r="38" spans="1:21" x14ac:dyDescent="0.2">
      <c r="A38" s="1" t="s">
        <v>54</v>
      </c>
      <c r="B38" s="1">
        <f>D37/1000</f>
        <v>8.9999999999999985E-6</v>
      </c>
      <c r="C38" s="1" t="s">
        <v>53</v>
      </c>
    </row>
    <row r="39" spans="1:21" x14ac:dyDescent="0.2">
      <c r="A39" s="1" t="s">
        <v>51</v>
      </c>
      <c r="B39" s="1">
        <f>D37*24</f>
        <v>0.21599999999999997</v>
      </c>
      <c r="C39" s="1" t="s">
        <v>50</v>
      </c>
    </row>
    <row r="41" spans="1:21" ht="16" thickBot="1" x14ac:dyDescent="0.25"/>
    <row r="42" spans="1:21" ht="17" thickTop="1" thickBot="1" x14ac:dyDescent="0.25">
      <c r="A42" s="90" t="s">
        <v>32</v>
      </c>
      <c r="B42" s="90"/>
      <c r="C42" s="90"/>
      <c r="D42" s="90"/>
      <c r="E42" s="90"/>
      <c r="F42" s="90"/>
      <c r="G42" s="90"/>
      <c r="H42" s="90"/>
      <c r="I42" s="90"/>
      <c r="J42" s="90"/>
      <c r="L42" s="90" t="s">
        <v>32</v>
      </c>
      <c r="M42" s="90"/>
      <c r="N42" s="90"/>
      <c r="O42" s="90"/>
      <c r="P42" s="90"/>
      <c r="Q42" s="90"/>
      <c r="R42" s="90"/>
      <c r="S42" s="90"/>
      <c r="T42" s="90"/>
      <c r="U42" s="90"/>
    </row>
    <row r="43" spans="1:21" ht="16" thickTop="1" x14ac:dyDescent="0.2">
      <c r="A43" s="93" t="s">
        <v>46</v>
      </c>
      <c r="B43" s="94"/>
      <c r="C43" s="94"/>
      <c r="D43" s="94"/>
      <c r="E43" s="94"/>
      <c r="F43" s="94"/>
      <c r="G43" s="94"/>
      <c r="H43" s="94"/>
      <c r="I43" s="94"/>
      <c r="J43" s="94"/>
      <c r="L43" s="93" t="s">
        <v>142</v>
      </c>
      <c r="M43" s="94"/>
      <c r="N43" s="94"/>
      <c r="O43" s="94"/>
      <c r="P43" s="94"/>
      <c r="Q43" s="94"/>
      <c r="R43" s="94"/>
      <c r="S43" s="94"/>
      <c r="T43" s="94"/>
      <c r="U43" s="94"/>
    </row>
    <row r="44" spans="1:21" x14ac:dyDescent="0.2">
      <c r="A44" s="9" t="s">
        <v>30</v>
      </c>
      <c r="B44" s="8" t="s">
        <v>29</v>
      </c>
      <c r="C44" s="8" t="s">
        <v>175</v>
      </c>
      <c r="D44" s="8" t="s">
        <v>44</v>
      </c>
      <c r="E44" s="8" t="s">
        <v>43</v>
      </c>
      <c r="F44" s="8" t="s">
        <v>42</v>
      </c>
      <c r="G44" s="8" t="s">
        <v>41</v>
      </c>
      <c r="H44" s="11" t="s">
        <v>28</v>
      </c>
      <c r="I44" s="9" t="s">
        <v>27</v>
      </c>
      <c r="J44" s="8" t="s">
        <v>27</v>
      </c>
      <c r="L44" s="9" t="s">
        <v>30</v>
      </c>
      <c r="M44" s="8" t="s">
        <v>29</v>
      </c>
      <c r="N44" s="8" t="s">
        <v>175</v>
      </c>
      <c r="O44" s="8" t="s">
        <v>44</v>
      </c>
      <c r="P44" s="8" t="s">
        <v>43</v>
      </c>
      <c r="Q44" s="8" t="s">
        <v>42</v>
      </c>
      <c r="R44" s="8" t="s">
        <v>41</v>
      </c>
      <c r="S44" s="11" t="s">
        <v>28</v>
      </c>
      <c r="T44" s="9" t="s">
        <v>27</v>
      </c>
      <c r="U44" s="8" t="s">
        <v>27</v>
      </c>
    </row>
    <row r="45" spans="1:21" x14ac:dyDescent="0.2">
      <c r="A45" s="9"/>
      <c r="B45" s="8" t="s">
        <v>26</v>
      </c>
      <c r="C45" s="8" t="s">
        <v>40</v>
      </c>
      <c r="D45" s="8" t="s">
        <v>39</v>
      </c>
      <c r="E45" s="8" t="s">
        <v>39</v>
      </c>
      <c r="F45" s="8" t="s">
        <v>38</v>
      </c>
      <c r="G45" s="8" t="s">
        <v>38</v>
      </c>
      <c r="H45" s="10" t="s">
        <v>26</v>
      </c>
      <c r="I45" s="9" t="s">
        <v>25</v>
      </c>
      <c r="J45" s="8" t="s">
        <v>24</v>
      </c>
      <c r="L45" s="9"/>
      <c r="M45" s="8" t="s">
        <v>26</v>
      </c>
      <c r="N45" s="8" t="s">
        <v>40</v>
      </c>
      <c r="O45" s="8" t="s">
        <v>39</v>
      </c>
      <c r="P45" s="8" t="s">
        <v>39</v>
      </c>
      <c r="Q45" s="8" t="s">
        <v>38</v>
      </c>
      <c r="R45" s="8" t="s">
        <v>38</v>
      </c>
      <c r="S45" s="10" t="s">
        <v>26</v>
      </c>
      <c r="T45" s="9" t="s">
        <v>25</v>
      </c>
      <c r="U45" s="8" t="s">
        <v>24</v>
      </c>
    </row>
    <row r="46" spans="1:21" x14ac:dyDescent="0.2">
      <c r="A46" s="80" t="s">
        <v>23</v>
      </c>
      <c r="B46" s="4">
        <f>MAX(M3_leaching!F3:G3)</f>
        <v>0</v>
      </c>
      <c r="C46" s="2">
        <f>2*(B46/1000)*$B$39</f>
        <v>0</v>
      </c>
      <c r="D46" s="2">
        <f>C46*$B$35/$B$34</f>
        <v>0</v>
      </c>
      <c r="E46" s="2">
        <f t="shared" ref="E46:E63" si="0">C46*$B$36/$B$34</f>
        <v>0</v>
      </c>
      <c r="F46" s="2">
        <f>D46/$B$16</f>
        <v>0</v>
      </c>
      <c r="G46" s="2">
        <f>E46/$B$17</f>
        <v>0</v>
      </c>
      <c r="H46" s="7">
        <v>5.7000000000000002E-2</v>
      </c>
      <c r="I46" s="2">
        <f t="shared" ref="I46:I63" si="1">F46/H46</f>
        <v>0</v>
      </c>
      <c r="J46" s="2">
        <f t="shared" ref="J46:J63" si="2">G46/H46</f>
        <v>0</v>
      </c>
      <c r="L46" s="13" t="s">
        <v>23</v>
      </c>
      <c r="M46" s="4">
        <f>MAX(M3_leaching!F3:G3)</f>
        <v>0</v>
      </c>
      <c r="N46" s="2">
        <f>2*M46*$B$39/1000</f>
        <v>0</v>
      </c>
      <c r="O46" s="2">
        <f>N46*$B$35/$B$34</f>
        <v>0</v>
      </c>
      <c r="P46" s="2">
        <f>N46*$B$36/$B$34</f>
        <v>0</v>
      </c>
      <c r="Q46" s="2">
        <f>O46/($B$16*$B$25)</f>
        <v>0</v>
      </c>
      <c r="R46" s="2">
        <f>P46/($B$17*$E$25)</f>
        <v>0</v>
      </c>
      <c r="S46" s="7">
        <v>5.7000000000000002E-2</v>
      </c>
      <c r="T46" s="2">
        <f t="shared" ref="T46:T63" si="3">Q46/S46</f>
        <v>0</v>
      </c>
      <c r="U46" s="2">
        <f t="shared" ref="U46:U63" si="4">R46/S46</f>
        <v>0</v>
      </c>
    </row>
    <row r="47" spans="1:21" x14ac:dyDescent="0.2">
      <c r="A47" s="13" t="s">
        <v>22</v>
      </c>
      <c r="B47" s="4">
        <f>MAX(M3_leaching!F4:G4)</f>
        <v>3.98</v>
      </c>
      <c r="C47" s="2">
        <f t="shared" ref="C47:C63" si="5">2*(B47/1000)*$B$39</f>
        <v>1.7193599999999999E-3</v>
      </c>
      <c r="D47" s="2">
        <f t="shared" ref="D47:D63" si="6">C47*$B$35/$B$34</f>
        <v>6.1209215999999999E-3</v>
      </c>
      <c r="E47" s="2">
        <f t="shared" si="0"/>
        <v>1.83627648E-2</v>
      </c>
      <c r="F47" s="2">
        <f t="shared" ref="F47:F63" si="7">D47/$B$16</f>
        <v>1.2751919999999999E-3</v>
      </c>
      <c r="G47" s="2">
        <f t="shared" ref="G47:G63" si="8">E47/$B$17</f>
        <v>3.0604607999999999E-3</v>
      </c>
      <c r="H47" s="7">
        <v>114.7</v>
      </c>
      <c r="I47" s="2">
        <f t="shared" si="1"/>
        <v>1.1117628596338273E-5</v>
      </c>
      <c r="J47" s="2">
        <f t="shared" si="2"/>
        <v>2.6682308631211855E-5</v>
      </c>
      <c r="L47" s="13" t="s">
        <v>22</v>
      </c>
      <c r="M47" s="4">
        <f>MAX(M3_leaching!F4:G4)</f>
        <v>3.98</v>
      </c>
      <c r="N47" s="2">
        <f>2*M47*$B$39/1000</f>
        <v>1.7193599999999999E-3</v>
      </c>
      <c r="O47" s="2">
        <f t="shared" ref="O47:O63" si="9">N47*$B$35/$B$34</f>
        <v>6.1209215999999999E-3</v>
      </c>
      <c r="P47" s="2">
        <f t="shared" ref="P47" si="10">N47*$B$36/$B$34</f>
        <v>1.83627648E-2</v>
      </c>
      <c r="Q47" s="2">
        <f t="shared" ref="Q47:Q63" si="11">O47/($B$16*$B$25)</f>
        <v>2.2138749999999999E-5</v>
      </c>
      <c r="R47" s="2">
        <f t="shared" ref="R47:R63" si="12">P47/($B$17*$E$25)</f>
        <v>6.3759599999999993E-4</v>
      </c>
      <c r="S47" s="7">
        <v>114.7</v>
      </c>
      <c r="T47" s="2">
        <f t="shared" si="3"/>
        <v>1.9301438535309501E-7</v>
      </c>
      <c r="U47" s="2">
        <f t="shared" si="4"/>
        <v>5.5588142981691364E-6</v>
      </c>
    </row>
    <row r="48" spans="1:21" x14ac:dyDescent="0.2">
      <c r="A48" s="13" t="s">
        <v>20</v>
      </c>
      <c r="B48" s="4">
        <f>MAX(M3_leaching!F5:G5)</f>
        <v>29</v>
      </c>
      <c r="C48" s="2">
        <f t="shared" si="5"/>
        <v>1.2527999999999999E-2</v>
      </c>
      <c r="D48" s="2">
        <f t="shared" si="6"/>
        <v>4.4599680000000003E-2</v>
      </c>
      <c r="E48" s="2">
        <f t="shared" si="0"/>
        <v>0.13379904000000001</v>
      </c>
      <c r="F48" s="2">
        <f t="shared" si="7"/>
        <v>9.2915999999999988E-3</v>
      </c>
      <c r="G48" s="2">
        <f t="shared" si="8"/>
        <v>2.2299840000000001E-2</v>
      </c>
      <c r="H48" s="6">
        <v>2900</v>
      </c>
      <c r="I48" s="2">
        <f t="shared" si="1"/>
        <v>3.2039999999999997E-6</v>
      </c>
      <c r="J48" s="2">
        <f t="shared" si="2"/>
        <v>7.6896E-6</v>
      </c>
      <c r="L48" s="13" t="s">
        <v>20</v>
      </c>
      <c r="M48" s="4">
        <f>MAX(M3_leaching!F5:G5)</f>
        <v>29</v>
      </c>
      <c r="N48" s="2">
        <f t="shared" ref="N48:N63" si="13">2*M48*$B$39/1000</f>
        <v>1.2527999999999999E-2</v>
      </c>
      <c r="O48" s="2">
        <f t="shared" si="9"/>
        <v>4.4599680000000003E-2</v>
      </c>
      <c r="P48" s="2">
        <f>N48*$B$36/$B$34</f>
        <v>0.13379904000000001</v>
      </c>
      <c r="Q48" s="2">
        <f t="shared" si="11"/>
        <v>1.613125E-4</v>
      </c>
      <c r="R48" s="2">
        <f t="shared" si="12"/>
        <v>4.6457999999999994E-3</v>
      </c>
      <c r="S48" s="6">
        <v>2900</v>
      </c>
      <c r="T48" s="2">
        <f t="shared" si="3"/>
        <v>5.5624999999999997E-8</v>
      </c>
      <c r="U48" s="2">
        <f t="shared" si="4"/>
        <v>1.6019999999999999E-6</v>
      </c>
    </row>
    <row r="49" spans="1:21" s="87" customFormat="1" x14ac:dyDescent="0.2">
      <c r="A49" s="83" t="s">
        <v>18</v>
      </c>
      <c r="B49" s="84">
        <f>MAX(M3_leaching!F6:G6)</f>
        <v>2.42</v>
      </c>
      <c r="C49" s="85">
        <f t="shared" si="5"/>
        <v>1.0454399999999997E-3</v>
      </c>
      <c r="D49" s="85">
        <f t="shared" si="6"/>
        <v>3.7217663999999993E-3</v>
      </c>
      <c r="E49" s="85">
        <f t="shared" si="0"/>
        <v>1.1165299199999998E-2</v>
      </c>
      <c r="F49" s="85">
        <f t="shared" si="7"/>
        <v>7.753679999999997E-4</v>
      </c>
      <c r="G49" s="85">
        <f t="shared" si="8"/>
        <v>1.8608831999999997E-3</v>
      </c>
      <c r="H49" s="86">
        <v>1.06</v>
      </c>
      <c r="I49" s="85">
        <f t="shared" si="1"/>
        <v>7.3147924528301855E-4</v>
      </c>
      <c r="J49" s="85">
        <f t="shared" si="2"/>
        <v>1.7555501886792448E-3</v>
      </c>
      <c r="L49" s="83" t="s">
        <v>18</v>
      </c>
      <c r="M49" s="84">
        <f>MAX(M3_leaching!F6:G6)</f>
        <v>2.42</v>
      </c>
      <c r="N49" s="85">
        <f t="shared" si="13"/>
        <v>1.0454399999999999E-3</v>
      </c>
      <c r="O49" s="85">
        <f t="shared" si="9"/>
        <v>3.7217664000000002E-3</v>
      </c>
      <c r="P49" s="85">
        <f t="shared" ref="P49:P63" si="14">N49*$B$36/$B$34</f>
        <v>1.1165299200000001E-2</v>
      </c>
      <c r="Q49" s="85">
        <f t="shared" si="11"/>
        <v>1.3461249999999999E-5</v>
      </c>
      <c r="R49" s="85">
        <f t="shared" si="12"/>
        <v>3.8768399999999996E-4</v>
      </c>
      <c r="S49" s="86">
        <v>1.06</v>
      </c>
      <c r="T49" s="85">
        <f t="shared" si="3"/>
        <v>1.2699292452830187E-5</v>
      </c>
      <c r="U49" s="85">
        <f t="shared" si="4"/>
        <v>3.6573962264150939E-4</v>
      </c>
    </row>
    <row r="50" spans="1:21" s="87" customFormat="1" x14ac:dyDescent="0.2">
      <c r="A50" s="88" t="s">
        <v>17</v>
      </c>
      <c r="B50" s="84">
        <f>MAX(M3_leaching!F7:G7)</f>
        <v>39</v>
      </c>
      <c r="C50" s="85">
        <f t="shared" si="5"/>
        <v>1.6847999999999998E-2</v>
      </c>
      <c r="D50" s="85">
        <f t="shared" si="6"/>
        <v>5.9978879999999998E-2</v>
      </c>
      <c r="E50" s="85">
        <f t="shared" si="0"/>
        <v>0.17993664000000001</v>
      </c>
      <c r="F50" s="85">
        <f t="shared" si="7"/>
        <v>1.2495599999999997E-2</v>
      </c>
      <c r="G50" s="85">
        <f t="shared" si="8"/>
        <v>2.9989440000000003E-2</v>
      </c>
      <c r="H50" s="86">
        <v>6.3</v>
      </c>
      <c r="I50" s="85">
        <f t="shared" si="1"/>
        <v>1.9834285714285709E-3</v>
      </c>
      <c r="J50" s="85">
        <f t="shared" si="2"/>
        <v>4.760228571428572E-3</v>
      </c>
      <c r="L50" s="88" t="s">
        <v>17</v>
      </c>
      <c r="M50" s="84">
        <f>MAX(M3_leaching!F7:G7)</f>
        <v>39</v>
      </c>
      <c r="N50" s="85">
        <f t="shared" si="13"/>
        <v>1.6847999999999998E-2</v>
      </c>
      <c r="O50" s="85">
        <f t="shared" si="9"/>
        <v>5.9978879999999998E-2</v>
      </c>
      <c r="P50" s="85">
        <f t="shared" si="14"/>
        <v>0.17993664000000001</v>
      </c>
      <c r="Q50" s="85">
        <f t="shared" si="11"/>
        <v>2.1693749999999998E-4</v>
      </c>
      <c r="R50" s="85">
        <f t="shared" si="12"/>
        <v>6.2477999999999995E-3</v>
      </c>
      <c r="S50" s="86">
        <v>6.3</v>
      </c>
      <c r="T50" s="85">
        <f t="shared" si="3"/>
        <v>3.4434523809523808E-5</v>
      </c>
      <c r="U50" s="85">
        <f t="shared" si="4"/>
        <v>9.9171428571428566E-4</v>
      </c>
    </row>
    <row r="51" spans="1:21" x14ac:dyDescent="0.2">
      <c r="A51" s="5" t="s">
        <v>16</v>
      </c>
      <c r="B51" s="4">
        <f>MAX(M3_leaching!F8:G8)</f>
        <v>2</v>
      </c>
      <c r="C51" s="2">
        <f t="shared" si="5"/>
        <v>8.6399999999999986E-4</v>
      </c>
      <c r="D51" s="2">
        <f t="shared" si="6"/>
        <v>3.0758399999999998E-3</v>
      </c>
      <c r="E51" s="2">
        <f t="shared" si="0"/>
        <v>9.2275199999999995E-3</v>
      </c>
      <c r="F51" s="2">
        <f t="shared" si="7"/>
        <v>6.4079999999999985E-4</v>
      </c>
      <c r="G51" s="2">
        <f t="shared" si="8"/>
        <v>1.5379199999999999E-3</v>
      </c>
      <c r="H51" s="3">
        <v>1650</v>
      </c>
      <c r="I51" s="2">
        <f t="shared" si="1"/>
        <v>3.883636363636363E-7</v>
      </c>
      <c r="J51" s="2">
        <f t="shared" si="2"/>
        <v>9.3207272727272724E-7</v>
      </c>
      <c r="L51" s="5" t="s">
        <v>16</v>
      </c>
      <c r="M51" s="4">
        <f>MAX(M3_leaching!F8:G8)</f>
        <v>2</v>
      </c>
      <c r="N51" s="2">
        <f t="shared" si="13"/>
        <v>8.6399999999999986E-4</v>
      </c>
      <c r="O51" s="2">
        <f t="shared" si="9"/>
        <v>3.0758399999999998E-3</v>
      </c>
      <c r="P51" s="2">
        <f t="shared" si="14"/>
        <v>9.2275199999999995E-3</v>
      </c>
      <c r="Q51" s="2">
        <f t="shared" si="11"/>
        <v>1.1124999999999999E-5</v>
      </c>
      <c r="R51" s="2">
        <f t="shared" si="12"/>
        <v>3.2039999999999993E-4</v>
      </c>
      <c r="S51" s="3">
        <v>1650</v>
      </c>
      <c r="T51" s="2">
        <f t="shared" si="3"/>
        <v>6.742424242424242E-9</v>
      </c>
      <c r="U51" s="2">
        <f t="shared" si="4"/>
        <v>1.9418181818181815E-7</v>
      </c>
    </row>
    <row r="52" spans="1:21" s="87" customFormat="1" x14ac:dyDescent="0.2">
      <c r="A52" s="88" t="s">
        <v>14</v>
      </c>
      <c r="B52" s="84">
        <f>MAX(M3_leaching!F9:G9)</f>
        <v>88.8</v>
      </c>
      <c r="C52" s="85">
        <f t="shared" si="5"/>
        <v>3.8361599999999996E-2</v>
      </c>
      <c r="D52" s="85">
        <f t="shared" si="6"/>
        <v>0.13656729599999998</v>
      </c>
      <c r="E52" s="85">
        <f t="shared" si="0"/>
        <v>0.40970188799999996</v>
      </c>
      <c r="F52" s="85">
        <f t="shared" si="7"/>
        <v>2.8451519999999991E-2</v>
      </c>
      <c r="G52" s="85">
        <f t="shared" si="8"/>
        <v>6.8283647999999988E-2</v>
      </c>
      <c r="H52" s="86">
        <v>34</v>
      </c>
      <c r="I52" s="85">
        <f t="shared" si="1"/>
        <v>8.3680941176470566E-4</v>
      </c>
      <c r="J52" s="85">
        <f t="shared" si="2"/>
        <v>2.0083425882352936E-3</v>
      </c>
      <c r="L52" s="88" t="s">
        <v>14</v>
      </c>
      <c r="M52" s="84">
        <f>MAX(M3_leaching!F9:G9)</f>
        <v>88.8</v>
      </c>
      <c r="N52" s="85">
        <f t="shared" si="13"/>
        <v>3.8361599999999996E-2</v>
      </c>
      <c r="O52" s="85">
        <f t="shared" si="9"/>
        <v>0.13656729599999998</v>
      </c>
      <c r="P52" s="85">
        <f t="shared" si="14"/>
        <v>0.40970188799999996</v>
      </c>
      <c r="Q52" s="85">
        <f t="shared" si="11"/>
        <v>4.9394999999999984E-4</v>
      </c>
      <c r="R52" s="85">
        <f t="shared" si="12"/>
        <v>1.4225759999999997E-2</v>
      </c>
      <c r="S52" s="86">
        <v>34</v>
      </c>
      <c r="T52" s="85">
        <f t="shared" si="3"/>
        <v>1.4527941176470584E-5</v>
      </c>
      <c r="U52" s="85">
        <f t="shared" si="4"/>
        <v>4.1840470588235283E-4</v>
      </c>
    </row>
    <row r="53" spans="1:21" x14ac:dyDescent="0.2">
      <c r="A53" s="5" t="s">
        <v>13</v>
      </c>
      <c r="B53" s="4">
        <f>MAX(M3_leaching!F10:G10)</f>
        <v>2.4</v>
      </c>
      <c r="C53" s="2">
        <f t="shared" si="5"/>
        <v>1.0367999999999998E-3</v>
      </c>
      <c r="D53" s="2">
        <f t="shared" si="6"/>
        <v>3.6910079999999995E-3</v>
      </c>
      <c r="E53" s="2">
        <f t="shared" si="0"/>
        <v>1.1073023999999999E-2</v>
      </c>
      <c r="F53" s="2">
        <f t="shared" si="7"/>
        <v>7.6895999999999974E-4</v>
      </c>
      <c r="G53" s="2">
        <f t="shared" si="8"/>
        <v>1.8455039999999998E-3</v>
      </c>
      <c r="H53" s="3">
        <v>11900</v>
      </c>
      <c r="I53" s="2">
        <f t="shared" si="1"/>
        <v>6.461848739495796E-8</v>
      </c>
      <c r="J53" s="2">
        <f t="shared" si="2"/>
        <v>1.5508436974789915E-7</v>
      </c>
      <c r="L53" s="5" t="s">
        <v>13</v>
      </c>
      <c r="M53" s="4">
        <f>MAX(M3_leaching!F10:G10)</f>
        <v>2.4</v>
      </c>
      <c r="N53" s="2">
        <f t="shared" si="13"/>
        <v>1.0367999999999996E-3</v>
      </c>
      <c r="O53" s="2">
        <f t="shared" si="9"/>
        <v>3.6910079999999987E-3</v>
      </c>
      <c r="P53" s="2">
        <f t="shared" si="14"/>
        <v>1.1073023999999997E-2</v>
      </c>
      <c r="Q53" s="2">
        <f t="shared" si="11"/>
        <v>1.3349999999999994E-5</v>
      </c>
      <c r="R53" s="2">
        <f t="shared" si="12"/>
        <v>3.8447999999999987E-4</v>
      </c>
      <c r="S53" s="3">
        <v>11900</v>
      </c>
      <c r="T53" s="2">
        <f t="shared" si="3"/>
        <v>1.1218487394957978E-9</v>
      </c>
      <c r="U53" s="2">
        <f t="shared" si="4"/>
        <v>3.230924369747898E-8</v>
      </c>
    </row>
    <row r="54" spans="1:21" x14ac:dyDescent="0.2">
      <c r="A54" s="5" t="s">
        <v>11</v>
      </c>
      <c r="B54" s="4">
        <f>MAX(M3_leaching!F11:G11)</f>
        <v>159</v>
      </c>
      <c r="C54" s="2">
        <f t="shared" si="5"/>
        <v>6.8687999999999985E-2</v>
      </c>
      <c r="D54" s="2">
        <f t="shared" si="6"/>
        <v>0.24452927999999996</v>
      </c>
      <c r="E54" s="2">
        <f t="shared" si="0"/>
        <v>0.73358783999999999</v>
      </c>
      <c r="F54" s="2">
        <f t="shared" si="7"/>
        <v>5.0943599999999985E-2</v>
      </c>
      <c r="G54" s="2">
        <f t="shared" si="8"/>
        <v>0.12226463999999999</v>
      </c>
      <c r="H54" s="3">
        <v>37</v>
      </c>
      <c r="I54" s="2">
        <f t="shared" si="1"/>
        <v>1.3768540540540536E-3</v>
      </c>
      <c r="J54" s="2">
        <f t="shared" si="2"/>
        <v>3.3044497297297294E-3</v>
      </c>
      <c r="L54" s="5" t="s">
        <v>11</v>
      </c>
      <c r="M54" s="4">
        <f>MAX(M3_leaching!F11:G11)</f>
        <v>159</v>
      </c>
      <c r="N54" s="2">
        <f t="shared" si="13"/>
        <v>6.8687999999999985E-2</v>
      </c>
      <c r="O54" s="2">
        <f t="shared" si="9"/>
        <v>0.24452927999999996</v>
      </c>
      <c r="P54" s="2">
        <f t="shared" si="14"/>
        <v>0.73358783999999999</v>
      </c>
      <c r="Q54" s="2">
        <f t="shared" si="11"/>
        <v>8.8443749999999981E-4</v>
      </c>
      <c r="R54" s="2">
        <f t="shared" si="12"/>
        <v>2.5471799999999996E-2</v>
      </c>
      <c r="S54" s="3">
        <v>37</v>
      </c>
      <c r="T54" s="2">
        <f t="shared" si="3"/>
        <v>2.3903716216216212E-5</v>
      </c>
      <c r="U54" s="2">
        <f t="shared" si="4"/>
        <v>6.8842702702702691E-4</v>
      </c>
    </row>
    <row r="55" spans="1:21" x14ac:dyDescent="0.2">
      <c r="A55" s="5" t="s">
        <v>10</v>
      </c>
      <c r="B55" s="4">
        <f>MAX(M3_leaching!F12:G12)</f>
        <v>2.9</v>
      </c>
      <c r="C55" s="2">
        <f t="shared" si="5"/>
        <v>1.2527999999999997E-3</v>
      </c>
      <c r="D55" s="2">
        <f t="shared" si="6"/>
        <v>4.4599679999999991E-3</v>
      </c>
      <c r="E55" s="2">
        <f t="shared" si="0"/>
        <v>1.3379903999999998E-2</v>
      </c>
      <c r="F55" s="2">
        <f t="shared" si="7"/>
        <v>9.2915999999999962E-4</v>
      </c>
      <c r="G55" s="2">
        <f t="shared" si="8"/>
        <v>2.2299839999999995E-3</v>
      </c>
      <c r="H55" s="3">
        <v>4.0999999999999996</v>
      </c>
      <c r="I55" s="2">
        <f t="shared" si="1"/>
        <v>2.2662439024390236E-4</v>
      </c>
      <c r="J55" s="2">
        <f t="shared" si="2"/>
        <v>5.4389853658536578E-4</v>
      </c>
      <c r="L55" s="5" t="s">
        <v>10</v>
      </c>
      <c r="M55" s="4">
        <f>MAX(M3_leaching!F12:G12)</f>
        <v>2.9</v>
      </c>
      <c r="N55" s="2">
        <f t="shared" si="13"/>
        <v>1.2527999999999997E-3</v>
      </c>
      <c r="O55" s="2">
        <f t="shared" si="9"/>
        <v>4.4599679999999991E-3</v>
      </c>
      <c r="P55" s="2">
        <f t="shared" si="14"/>
        <v>1.3379903999999998E-2</v>
      </c>
      <c r="Q55" s="2">
        <f t="shared" si="11"/>
        <v>1.6131249999999996E-5</v>
      </c>
      <c r="R55" s="2">
        <f t="shared" si="12"/>
        <v>4.6457999999999987E-4</v>
      </c>
      <c r="S55" s="3">
        <v>4.0999999999999996</v>
      </c>
      <c r="T55" s="2">
        <f t="shared" si="3"/>
        <v>3.9344512195121944E-6</v>
      </c>
      <c r="U55" s="2">
        <f t="shared" si="4"/>
        <v>1.1331219512195119E-4</v>
      </c>
    </row>
    <row r="56" spans="1:21" s="87" customFormat="1" x14ac:dyDescent="0.2">
      <c r="A56" s="88" t="s">
        <v>9</v>
      </c>
      <c r="B56" s="84">
        <f>MAX(M3_leaching!F13:G13)</f>
        <v>365</v>
      </c>
      <c r="C56" s="85">
        <f t="shared" si="5"/>
        <v>0.15767999999999999</v>
      </c>
      <c r="D56" s="85">
        <f t="shared" si="6"/>
        <v>0.56134080000000008</v>
      </c>
      <c r="E56" s="85">
        <f t="shared" si="0"/>
        <v>1.6840224000000001</v>
      </c>
      <c r="F56" s="85">
        <f t="shared" si="7"/>
        <v>0.11694599999999999</v>
      </c>
      <c r="G56" s="85">
        <f t="shared" si="8"/>
        <v>0.28067040000000004</v>
      </c>
      <c r="H56" s="86">
        <v>14.4</v>
      </c>
      <c r="I56" s="85">
        <f t="shared" si="1"/>
        <v>8.12125E-3</v>
      </c>
      <c r="J56" s="85">
        <f t="shared" si="2"/>
        <v>1.9491000000000001E-2</v>
      </c>
      <c r="L56" s="88" t="s">
        <v>9</v>
      </c>
      <c r="M56" s="84">
        <f>MAX(M3_leaching!F13:G13)</f>
        <v>365</v>
      </c>
      <c r="N56" s="85">
        <f t="shared" si="13"/>
        <v>0.15767999999999999</v>
      </c>
      <c r="O56" s="85">
        <f t="shared" si="9"/>
        <v>0.56134080000000008</v>
      </c>
      <c r="P56" s="85">
        <f t="shared" si="14"/>
        <v>1.6840224000000001</v>
      </c>
      <c r="Q56" s="85">
        <f t="shared" si="11"/>
        <v>2.0303125E-3</v>
      </c>
      <c r="R56" s="85">
        <f t="shared" si="12"/>
        <v>5.8472999999999997E-2</v>
      </c>
      <c r="S56" s="86">
        <v>14.4</v>
      </c>
      <c r="T56" s="85">
        <f t="shared" si="3"/>
        <v>1.4099392361111111E-4</v>
      </c>
      <c r="U56" s="85">
        <f t="shared" si="4"/>
        <v>4.060625E-3</v>
      </c>
    </row>
    <row r="57" spans="1:21" x14ac:dyDescent="0.2">
      <c r="A57" s="5" t="s">
        <v>6</v>
      </c>
      <c r="B57" s="4">
        <f>MAX(M3_leaching!F14:G14)</f>
        <v>5.6000000000000001E-2</v>
      </c>
      <c r="C57" s="2">
        <f t="shared" si="5"/>
        <v>2.4191999999999995E-5</v>
      </c>
      <c r="D57" s="2">
        <f t="shared" si="6"/>
        <v>8.6123519999999998E-5</v>
      </c>
      <c r="E57" s="2">
        <f t="shared" si="0"/>
        <v>2.5837055999999999E-4</v>
      </c>
      <c r="F57" s="2">
        <f t="shared" si="7"/>
        <v>1.7942399999999996E-5</v>
      </c>
      <c r="G57" s="2">
        <f t="shared" si="8"/>
        <v>4.3061759999999999E-5</v>
      </c>
      <c r="H57" s="3">
        <v>0.19</v>
      </c>
      <c r="I57" s="2">
        <f t="shared" si="1"/>
        <v>9.4433684210526298E-5</v>
      </c>
      <c r="J57" s="2">
        <f t="shared" si="2"/>
        <v>2.2664084210526314E-4</v>
      </c>
      <c r="L57" s="5" t="s">
        <v>6</v>
      </c>
      <c r="M57" s="4">
        <f>MAX(M3_leaching!F14:G14)</f>
        <v>5.6000000000000001E-2</v>
      </c>
      <c r="N57" s="2">
        <f t="shared" si="13"/>
        <v>2.4191999999999998E-5</v>
      </c>
      <c r="O57" s="2">
        <f t="shared" si="9"/>
        <v>8.6123519999999998E-5</v>
      </c>
      <c r="P57" s="2">
        <f t="shared" si="14"/>
        <v>2.5837056000000005E-4</v>
      </c>
      <c r="Q57" s="2">
        <f t="shared" si="11"/>
        <v>3.1149999999999995E-7</v>
      </c>
      <c r="R57" s="2">
        <f t="shared" si="12"/>
        <v>8.9711999999999998E-6</v>
      </c>
      <c r="S57" s="3">
        <v>0.19</v>
      </c>
      <c r="T57" s="2">
        <f t="shared" si="3"/>
        <v>1.639473684210526E-6</v>
      </c>
      <c r="U57" s="2">
        <f t="shared" si="4"/>
        <v>4.7216842105263156E-5</v>
      </c>
    </row>
    <row r="58" spans="1:21" x14ac:dyDescent="0.2">
      <c r="A58" s="5" t="s">
        <v>5</v>
      </c>
      <c r="B58" s="4">
        <f>MAX(M3_leaching!F15:G15)</f>
        <v>0.81399999999999995</v>
      </c>
      <c r="C58" s="2">
        <f t="shared" si="5"/>
        <v>3.5164799999999992E-4</v>
      </c>
      <c r="D58" s="2">
        <f t="shared" si="6"/>
        <v>1.2518668799999999E-3</v>
      </c>
      <c r="E58" s="2">
        <f t="shared" si="0"/>
        <v>3.7556006399999996E-3</v>
      </c>
      <c r="F58" s="2">
        <f t="shared" si="7"/>
        <v>2.6080559999999995E-4</v>
      </c>
      <c r="G58" s="2">
        <f t="shared" si="8"/>
        <v>6.2593343999999993E-4</v>
      </c>
      <c r="H58" s="3">
        <v>6.5</v>
      </c>
      <c r="I58" s="2">
        <f t="shared" si="1"/>
        <v>4.0123938461538456E-5</v>
      </c>
      <c r="J58" s="2">
        <f t="shared" si="2"/>
        <v>9.6297452307692293E-5</v>
      </c>
      <c r="L58" s="5" t="s">
        <v>5</v>
      </c>
      <c r="M58" s="4">
        <f>MAX(M3_leaching!F15:G15)</f>
        <v>0.81399999999999995</v>
      </c>
      <c r="N58" s="2">
        <f t="shared" si="13"/>
        <v>3.5164799999999992E-4</v>
      </c>
      <c r="O58" s="2">
        <f t="shared" si="9"/>
        <v>1.2518668799999999E-3</v>
      </c>
      <c r="P58" s="2">
        <f t="shared" si="14"/>
        <v>3.7556006399999996E-3</v>
      </c>
      <c r="Q58" s="2">
        <f t="shared" si="11"/>
        <v>4.5278749999999994E-6</v>
      </c>
      <c r="R58" s="2">
        <f t="shared" si="12"/>
        <v>1.3040279999999998E-4</v>
      </c>
      <c r="S58" s="3">
        <v>6.5</v>
      </c>
      <c r="T58" s="2">
        <f t="shared" si="3"/>
        <v>6.9659615384615378E-7</v>
      </c>
      <c r="U58" s="2">
        <f t="shared" si="4"/>
        <v>2.0061969230769228E-5</v>
      </c>
    </row>
    <row r="59" spans="1:21" x14ac:dyDescent="0.2">
      <c r="A59" s="5" t="s">
        <v>4</v>
      </c>
      <c r="B59" s="4">
        <f>MAX(M3_leaching!F16:G16)</f>
        <v>42.9</v>
      </c>
      <c r="C59" s="2">
        <f t="shared" si="5"/>
        <v>1.8532799999999999E-2</v>
      </c>
      <c r="D59" s="2">
        <f t="shared" si="6"/>
        <v>6.5976767999999991E-2</v>
      </c>
      <c r="E59" s="2">
        <f t="shared" si="0"/>
        <v>0.197930304</v>
      </c>
      <c r="F59" s="2">
        <f t="shared" si="7"/>
        <v>1.3745159999999996E-2</v>
      </c>
      <c r="G59" s="2">
        <f t="shared" si="8"/>
        <v>3.2988384000000003E-2</v>
      </c>
      <c r="H59" s="3">
        <v>20</v>
      </c>
      <c r="I59" s="2">
        <f t="shared" si="1"/>
        <v>6.8725799999999984E-4</v>
      </c>
      <c r="J59" s="2">
        <f t="shared" si="2"/>
        <v>1.6494192000000001E-3</v>
      </c>
      <c r="L59" s="5" t="s">
        <v>4</v>
      </c>
      <c r="M59" s="4">
        <f>MAX(M3_leaching!F16:G16)</f>
        <v>42.9</v>
      </c>
      <c r="N59" s="2">
        <f t="shared" si="13"/>
        <v>1.8532799999999999E-2</v>
      </c>
      <c r="O59" s="2">
        <f t="shared" si="9"/>
        <v>6.5976767999999991E-2</v>
      </c>
      <c r="P59" s="2">
        <f t="shared" si="14"/>
        <v>0.197930304</v>
      </c>
      <c r="Q59" s="2">
        <f t="shared" si="11"/>
        <v>2.3863124999999995E-4</v>
      </c>
      <c r="R59" s="2">
        <f t="shared" si="12"/>
        <v>6.8725799999999988E-3</v>
      </c>
      <c r="S59" s="3">
        <v>20</v>
      </c>
      <c r="T59" s="2">
        <f t="shared" si="3"/>
        <v>1.1931562499999997E-5</v>
      </c>
      <c r="U59" s="2">
        <f t="shared" si="4"/>
        <v>3.4362899999999992E-4</v>
      </c>
    </row>
    <row r="60" spans="1:21" x14ac:dyDescent="0.2">
      <c r="A60" s="79" t="s">
        <v>3</v>
      </c>
      <c r="B60" s="4">
        <f>MAX(M3_leaching!F17:G17)</f>
        <v>0</v>
      </c>
      <c r="C60" s="2">
        <f t="shared" si="5"/>
        <v>0</v>
      </c>
      <c r="D60" s="2">
        <f t="shared" si="6"/>
        <v>0</v>
      </c>
      <c r="E60" s="2">
        <f t="shared" si="0"/>
        <v>0</v>
      </c>
      <c r="F60" s="2">
        <f t="shared" si="7"/>
        <v>0</v>
      </c>
      <c r="G60" s="2">
        <f t="shared" si="8"/>
        <v>0</v>
      </c>
      <c r="H60" s="3">
        <v>2.4</v>
      </c>
      <c r="I60" s="2">
        <f t="shared" si="1"/>
        <v>0</v>
      </c>
      <c r="J60" s="2">
        <f t="shared" si="2"/>
        <v>0</v>
      </c>
      <c r="L60" s="5" t="s">
        <v>3</v>
      </c>
      <c r="M60" s="4">
        <f>MAX(M3_leaching!F17:G17)</f>
        <v>0</v>
      </c>
      <c r="N60" s="2">
        <f t="shared" si="13"/>
        <v>0</v>
      </c>
      <c r="O60" s="2">
        <f t="shared" si="9"/>
        <v>0</v>
      </c>
      <c r="P60" s="2">
        <f t="shared" si="14"/>
        <v>0</v>
      </c>
      <c r="Q60" s="2">
        <f t="shared" si="11"/>
        <v>0</v>
      </c>
      <c r="R60" s="2">
        <f t="shared" si="12"/>
        <v>0</v>
      </c>
      <c r="S60" s="3">
        <v>2.4</v>
      </c>
      <c r="T60" s="2">
        <f t="shared" si="3"/>
        <v>0</v>
      </c>
      <c r="U60" s="2">
        <f t="shared" si="4"/>
        <v>0</v>
      </c>
    </row>
    <row r="61" spans="1:21" x14ac:dyDescent="0.2">
      <c r="A61" s="5" t="s">
        <v>2</v>
      </c>
      <c r="B61" s="4">
        <f>MAX(M3_leaching!F18:G18)</f>
        <v>3.67</v>
      </c>
      <c r="C61" s="2">
        <f t="shared" si="5"/>
        <v>1.5854399999999998E-3</v>
      </c>
      <c r="D61" s="2">
        <f t="shared" si="6"/>
        <v>5.6441664000000001E-3</v>
      </c>
      <c r="E61" s="2">
        <f t="shared" si="0"/>
        <v>1.6932499199999999E-2</v>
      </c>
      <c r="F61" s="2">
        <f t="shared" si="7"/>
        <v>1.1758679999999998E-3</v>
      </c>
      <c r="G61" s="2">
        <f t="shared" si="8"/>
        <v>2.8220832E-3</v>
      </c>
      <c r="H61" s="3">
        <v>5.6</v>
      </c>
      <c r="I61" s="2">
        <f t="shared" si="1"/>
        <v>2.0997642857142855E-4</v>
      </c>
      <c r="J61" s="2">
        <f t="shared" si="2"/>
        <v>5.0394342857142864E-4</v>
      </c>
      <c r="L61" s="5" t="s">
        <v>2</v>
      </c>
      <c r="M61" s="4">
        <f>MAX(M3_leaching!F18:G18)</f>
        <v>3.67</v>
      </c>
      <c r="N61" s="2">
        <f t="shared" si="13"/>
        <v>1.5854399999999998E-3</v>
      </c>
      <c r="O61" s="2">
        <f t="shared" si="9"/>
        <v>5.6441664000000001E-3</v>
      </c>
      <c r="P61" s="2">
        <f t="shared" si="14"/>
        <v>1.6932499199999999E-2</v>
      </c>
      <c r="Q61" s="2">
        <f t="shared" si="11"/>
        <v>2.0414375000000001E-5</v>
      </c>
      <c r="R61" s="2">
        <f t="shared" si="12"/>
        <v>5.8793399999999992E-4</v>
      </c>
      <c r="S61" s="3">
        <v>5.6</v>
      </c>
      <c r="T61" s="2">
        <f t="shared" si="3"/>
        <v>3.6454241071428574E-6</v>
      </c>
      <c r="U61" s="2">
        <f t="shared" si="4"/>
        <v>1.0498821428571427E-4</v>
      </c>
    </row>
    <row r="62" spans="1:21" s="87" customFormat="1" x14ac:dyDescent="0.2">
      <c r="A62" s="88" t="s">
        <v>1</v>
      </c>
      <c r="B62" s="84">
        <f>MAX(M3_leaching!F19:G19)</f>
        <v>3020</v>
      </c>
      <c r="C62" s="85">
        <f t="shared" si="5"/>
        <v>1.3046399999999998</v>
      </c>
      <c r="D62" s="85">
        <f t="shared" si="6"/>
        <v>4.6445183999999999</v>
      </c>
      <c r="E62" s="85">
        <f t="shared" si="0"/>
        <v>13.933555199999999</v>
      </c>
      <c r="F62" s="85">
        <f t="shared" si="7"/>
        <v>0.9676079999999998</v>
      </c>
      <c r="G62" s="85">
        <f t="shared" si="8"/>
        <v>2.3222592</v>
      </c>
      <c r="H62" s="86">
        <v>28</v>
      </c>
      <c r="I62" s="85">
        <f t="shared" si="1"/>
        <v>3.4557428571428565E-2</v>
      </c>
      <c r="J62" s="85">
        <f t="shared" si="2"/>
        <v>8.2937828571428576E-2</v>
      </c>
      <c r="L62" s="88" t="s">
        <v>1</v>
      </c>
      <c r="M62" s="84">
        <f>MAX(M3_leaching!F19:G19)</f>
        <v>3020</v>
      </c>
      <c r="N62" s="85">
        <f t="shared" si="13"/>
        <v>1.3046399999999998</v>
      </c>
      <c r="O62" s="85">
        <f t="shared" si="9"/>
        <v>4.6445183999999999</v>
      </c>
      <c r="P62" s="85">
        <f t="shared" si="14"/>
        <v>13.933555199999999</v>
      </c>
      <c r="Q62" s="85">
        <f t="shared" si="11"/>
        <v>1.6798749999999998E-2</v>
      </c>
      <c r="R62" s="85">
        <f t="shared" si="12"/>
        <v>0.4838039999999999</v>
      </c>
      <c r="S62" s="86">
        <v>28</v>
      </c>
      <c r="T62" s="85">
        <f t="shared" si="3"/>
        <v>5.9995535714285706E-4</v>
      </c>
      <c r="U62" s="85">
        <f t="shared" si="4"/>
        <v>1.7278714285714283E-2</v>
      </c>
    </row>
    <row r="63" spans="1:21" ht="16" thickBot="1" x14ac:dyDescent="0.25">
      <c r="A63" s="79" t="s">
        <v>0</v>
      </c>
      <c r="B63" s="4">
        <f>MAX(M3_leaching!F20:G20)</f>
        <v>0</v>
      </c>
      <c r="C63" s="2">
        <f t="shared" si="5"/>
        <v>0</v>
      </c>
      <c r="D63" s="2">
        <f t="shared" si="6"/>
        <v>0</v>
      </c>
      <c r="E63" s="2">
        <f t="shared" si="0"/>
        <v>0</v>
      </c>
      <c r="F63" s="2">
        <f t="shared" si="7"/>
        <v>0</v>
      </c>
      <c r="G63" s="2">
        <f t="shared" si="8"/>
        <v>0</v>
      </c>
      <c r="H63" s="3">
        <v>170</v>
      </c>
      <c r="I63" s="2">
        <f t="shared" si="1"/>
        <v>0</v>
      </c>
      <c r="J63" s="2">
        <f t="shared" si="2"/>
        <v>0</v>
      </c>
      <c r="L63" s="5" t="s">
        <v>0</v>
      </c>
      <c r="M63" s="4">
        <f>MAX(M3_leaching!F20:G20)</f>
        <v>0</v>
      </c>
      <c r="N63" s="2">
        <f t="shared" si="13"/>
        <v>0</v>
      </c>
      <c r="O63" s="2">
        <f t="shared" si="9"/>
        <v>0</v>
      </c>
      <c r="P63" s="2">
        <f t="shared" si="14"/>
        <v>0</v>
      </c>
      <c r="Q63" s="2">
        <f t="shared" si="11"/>
        <v>0</v>
      </c>
      <c r="R63" s="2">
        <f t="shared" si="12"/>
        <v>0</v>
      </c>
      <c r="S63" s="3">
        <v>170</v>
      </c>
      <c r="T63" s="2">
        <f t="shared" si="3"/>
        <v>0</v>
      </c>
      <c r="U63" s="2">
        <f t="shared" si="4"/>
        <v>0</v>
      </c>
    </row>
    <row r="64" spans="1:21" ht="17" thickTop="1" thickBot="1" x14ac:dyDescent="0.25">
      <c r="A64" s="90" t="s">
        <v>31</v>
      </c>
      <c r="B64" s="90"/>
      <c r="C64" s="90"/>
      <c r="D64" s="90"/>
      <c r="E64" s="90"/>
      <c r="F64" s="90"/>
      <c r="G64" s="90"/>
      <c r="H64" s="90"/>
      <c r="I64" s="90"/>
      <c r="J64" s="90"/>
      <c r="L64" s="90" t="s">
        <v>31</v>
      </c>
      <c r="M64" s="90"/>
      <c r="N64" s="90"/>
      <c r="O64" s="90"/>
      <c r="P64" s="90"/>
      <c r="Q64" s="90"/>
      <c r="R64" s="90"/>
      <c r="S64" s="90"/>
      <c r="T64" s="90"/>
      <c r="U64" s="90"/>
    </row>
    <row r="65" spans="1:21" ht="16" thickTop="1" x14ac:dyDescent="0.2">
      <c r="A65" s="93" t="s">
        <v>46</v>
      </c>
      <c r="B65" s="94"/>
      <c r="C65" s="94"/>
      <c r="D65" s="94"/>
      <c r="E65" s="94"/>
      <c r="F65" s="94"/>
      <c r="G65" s="94"/>
      <c r="H65" s="94"/>
      <c r="I65" s="94"/>
      <c r="J65" s="94"/>
      <c r="L65" s="93" t="s">
        <v>142</v>
      </c>
      <c r="M65" s="94"/>
      <c r="N65" s="94"/>
      <c r="O65" s="94"/>
      <c r="P65" s="94"/>
      <c r="Q65" s="94"/>
      <c r="R65" s="94"/>
      <c r="S65" s="94"/>
      <c r="T65" s="94"/>
      <c r="U65" s="94"/>
    </row>
    <row r="66" spans="1:21" x14ac:dyDescent="0.2">
      <c r="A66" s="8" t="s">
        <v>30</v>
      </c>
      <c r="B66" s="8" t="s">
        <v>29</v>
      </c>
      <c r="C66" s="8" t="s">
        <v>175</v>
      </c>
      <c r="D66" s="8" t="s">
        <v>44</v>
      </c>
      <c r="E66" s="8" t="s">
        <v>43</v>
      </c>
      <c r="F66" s="8" t="s">
        <v>42</v>
      </c>
      <c r="G66" s="8" t="s">
        <v>41</v>
      </c>
      <c r="H66" s="11" t="s">
        <v>28</v>
      </c>
      <c r="I66" s="9" t="s">
        <v>27</v>
      </c>
      <c r="J66" s="8" t="s">
        <v>27</v>
      </c>
      <c r="L66" s="8" t="s">
        <v>30</v>
      </c>
      <c r="M66" s="8" t="s">
        <v>29</v>
      </c>
      <c r="N66" s="8" t="s">
        <v>175</v>
      </c>
      <c r="O66" s="8" t="s">
        <v>44</v>
      </c>
      <c r="P66" s="8" t="s">
        <v>43</v>
      </c>
      <c r="Q66" s="8" t="s">
        <v>42</v>
      </c>
      <c r="R66" s="8" t="s">
        <v>41</v>
      </c>
      <c r="S66" s="11" t="s">
        <v>28</v>
      </c>
      <c r="T66" s="9" t="s">
        <v>27</v>
      </c>
      <c r="U66" s="8" t="s">
        <v>27</v>
      </c>
    </row>
    <row r="67" spans="1:21" x14ac:dyDescent="0.2">
      <c r="A67" s="8"/>
      <c r="B67" s="8" t="s">
        <v>26</v>
      </c>
      <c r="C67" s="8" t="s">
        <v>40</v>
      </c>
      <c r="D67" s="8" t="s">
        <v>39</v>
      </c>
      <c r="E67" s="8" t="s">
        <v>39</v>
      </c>
      <c r="F67" s="8" t="s">
        <v>38</v>
      </c>
      <c r="G67" s="8" t="s">
        <v>38</v>
      </c>
      <c r="H67" s="10" t="s">
        <v>26</v>
      </c>
      <c r="I67" s="9" t="s">
        <v>25</v>
      </c>
      <c r="J67" s="8" t="s">
        <v>24</v>
      </c>
      <c r="L67" s="8"/>
      <c r="M67" s="8" t="s">
        <v>26</v>
      </c>
      <c r="N67" s="8" t="s">
        <v>40</v>
      </c>
      <c r="O67" s="8" t="s">
        <v>39</v>
      </c>
      <c r="P67" s="8" t="s">
        <v>39</v>
      </c>
      <c r="Q67" s="8" t="s">
        <v>38</v>
      </c>
      <c r="R67" s="8" t="s">
        <v>38</v>
      </c>
      <c r="S67" s="10" t="s">
        <v>26</v>
      </c>
      <c r="T67" s="9" t="s">
        <v>25</v>
      </c>
      <c r="U67" s="8" t="s">
        <v>24</v>
      </c>
    </row>
    <row r="68" spans="1:21" x14ac:dyDescent="0.2">
      <c r="A68" s="5" t="s">
        <v>23</v>
      </c>
      <c r="B68" s="4">
        <f>MAX(M3_leaching!F3:G3)</f>
        <v>0</v>
      </c>
      <c r="C68" s="2">
        <f>2*B68*$B$39/1000</f>
        <v>0</v>
      </c>
      <c r="D68" s="2">
        <f>C68*$B$35/$B$34</f>
        <v>0</v>
      </c>
      <c r="E68" s="2">
        <f>C68*$B$36/$B$34</f>
        <v>0</v>
      </c>
      <c r="F68" s="2">
        <f>D68/$E$16</f>
        <v>0</v>
      </c>
      <c r="G68" s="2">
        <f>E68/$E$17</f>
        <v>0</v>
      </c>
      <c r="H68" s="7">
        <v>5.7000000000000002E-2</v>
      </c>
      <c r="I68" s="2">
        <f>F68/H68</f>
        <v>0</v>
      </c>
      <c r="J68" s="2">
        <f>G68/H68</f>
        <v>0</v>
      </c>
      <c r="L68" s="5" t="s">
        <v>23</v>
      </c>
      <c r="M68" s="4">
        <f>MAX(M3_leaching!F3:G3)</f>
        <v>0</v>
      </c>
      <c r="N68" s="2">
        <f>2*M68*$B$39/1000</f>
        <v>0</v>
      </c>
      <c r="O68" s="2">
        <f>N68*$B$35/$B$34</f>
        <v>0</v>
      </c>
      <c r="P68" s="2">
        <f>N68*$B$36/$B$34</f>
        <v>0</v>
      </c>
      <c r="Q68" s="2">
        <f>O68/($E$16*$B$30)</f>
        <v>0</v>
      </c>
      <c r="R68" s="2">
        <f>P68/($E$17*$E$30)</f>
        <v>0</v>
      </c>
      <c r="S68" s="7">
        <v>5.7000000000000002E-2</v>
      </c>
      <c r="T68" s="2">
        <f>Q68/S68</f>
        <v>0</v>
      </c>
      <c r="U68" s="2">
        <f>R68/S68</f>
        <v>0</v>
      </c>
    </row>
    <row r="69" spans="1:21" x14ac:dyDescent="0.2">
      <c r="A69" s="5" t="s">
        <v>22</v>
      </c>
      <c r="B69" s="4">
        <f>MAX(M3_leaching!F4:G4)</f>
        <v>3.98</v>
      </c>
      <c r="C69" s="2">
        <f t="shared" ref="C69:C85" si="15">2*B69*$B$39/1000</f>
        <v>1.7193599999999999E-3</v>
      </c>
      <c r="D69" s="2">
        <f t="shared" ref="D69:D85" si="16">C69*$B$35/$B$34</f>
        <v>6.1209215999999999E-3</v>
      </c>
      <c r="E69" s="2">
        <f t="shared" ref="E69:E85" si="17">C69*$B$36/$B$34</f>
        <v>1.83627648E-2</v>
      </c>
      <c r="F69" s="2">
        <f t="shared" ref="F69:F85" si="18">D69/$E$16</f>
        <v>1.0201536E-3</v>
      </c>
      <c r="G69" s="2">
        <f t="shared" ref="G69:G85" si="19">E69/$E$17</f>
        <v>2.4483686399999999E-3</v>
      </c>
      <c r="H69" s="7">
        <v>114.7</v>
      </c>
      <c r="I69" s="2">
        <f t="shared" ref="I69:I85" si="20">F69/H69</f>
        <v>8.8941028770706183E-6</v>
      </c>
      <c r="J69" s="2">
        <f t="shared" ref="J69:J85" si="21">G69/H69</f>
        <v>2.1345846904969483E-5</v>
      </c>
      <c r="L69" s="5" t="s">
        <v>22</v>
      </c>
      <c r="M69" s="4">
        <f>MAX(M3_leaching!F4:G4)</f>
        <v>3.98</v>
      </c>
      <c r="N69" s="2">
        <f t="shared" ref="N69:N85" si="22">2*M69*$B$39/1000</f>
        <v>1.7193599999999999E-3</v>
      </c>
      <c r="O69" s="2">
        <f t="shared" ref="O69:O85" si="23">N69*$B$35/$B$34</f>
        <v>6.1209215999999999E-3</v>
      </c>
      <c r="P69" s="2">
        <f t="shared" ref="P69:P85" si="24">N69*$B$36/$B$34</f>
        <v>1.83627648E-2</v>
      </c>
      <c r="Q69" s="2">
        <f t="shared" ref="Q69:Q85" si="25">O69/($E$16*$B$30)</f>
        <v>1.5743111111111109E-7</v>
      </c>
      <c r="R69" s="2">
        <f t="shared" ref="R69:R85" si="26">P69/($E$17*$E$30)</f>
        <v>3.7783466666666657E-7</v>
      </c>
      <c r="S69" s="7">
        <v>114.7</v>
      </c>
      <c r="T69" s="2">
        <f t="shared" ref="T69:T85" si="27">Q69/S69</f>
        <v>1.3725467402886756E-9</v>
      </c>
      <c r="U69" s="2">
        <f t="shared" ref="U69:U85" si="28">R69/S69</f>
        <v>3.2941121766928208E-9</v>
      </c>
    </row>
    <row r="70" spans="1:21" x14ac:dyDescent="0.2">
      <c r="A70" s="5" t="s">
        <v>20</v>
      </c>
      <c r="B70" s="4">
        <f>MAX(M3_leaching!F5:G5)</f>
        <v>29</v>
      </c>
      <c r="C70" s="2">
        <f t="shared" si="15"/>
        <v>1.2527999999999999E-2</v>
      </c>
      <c r="D70" s="2">
        <f t="shared" si="16"/>
        <v>4.4599680000000003E-2</v>
      </c>
      <c r="E70" s="2">
        <f t="shared" si="17"/>
        <v>0.13379904000000001</v>
      </c>
      <c r="F70" s="2">
        <f t="shared" si="18"/>
        <v>7.4332800000000004E-3</v>
      </c>
      <c r="G70" s="2">
        <f t="shared" si="19"/>
        <v>1.7839872E-2</v>
      </c>
      <c r="H70" s="6">
        <v>2900</v>
      </c>
      <c r="I70" s="2">
        <f t="shared" si="20"/>
        <v>2.5632000000000003E-6</v>
      </c>
      <c r="J70" s="2">
        <f t="shared" si="21"/>
        <v>6.1516800000000002E-6</v>
      </c>
      <c r="L70" s="5" t="s">
        <v>20</v>
      </c>
      <c r="M70" s="4">
        <f>MAX(M3_leaching!F5:G5)</f>
        <v>29</v>
      </c>
      <c r="N70" s="2">
        <f t="shared" si="22"/>
        <v>1.2527999999999999E-2</v>
      </c>
      <c r="O70" s="2">
        <f t="shared" si="23"/>
        <v>4.4599680000000003E-2</v>
      </c>
      <c r="P70" s="2">
        <f t="shared" si="24"/>
        <v>0.13379904000000001</v>
      </c>
      <c r="Q70" s="2">
        <f t="shared" si="25"/>
        <v>1.147111111111111E-6</v>
      </c>
      <c r="R70" s="2">
        <f t="shared" si="26"/>
        <v>2.7530666666666661E-6</v>
      </c>
      <c r="S70" s="6">
        <v>2900</v>
      </c>
      <c r="T70" s="2">
        <f t="shared" si="27"/>
        <v>3.9555555555555552E-10</v>
      </c>
      <c r="U70" s="2">
        <f t="shared" si="28"/>
        <v>9.4933333333333316E-10</v>
      </c>
    </row>
    <row r="71" spans="1:21" x14ac:dyDescent="0.2">
      <c r="A71" s="5" t="s">
        <v>18</v>
      </c>
      <c r="B71" s="4">
        <f>MAX(M3_leaching!F6:G6)</f>
        <v>2.42</v>
      </c>
      <c r="C71" s="2">
        <f t="shared" si="15"/>
        <v>1.0454399999999999E-3</v>
      </c>
      <c r="D71" s="2">
        <f t="shared" si="16"/>
        <v>3.7217664000000002E-3</v>
      </c>
      <c r="E71" s="2">
        <f t="shared" si="17"/>
        <v>1.1165299200000001E-2</v>
      </c>
      <c r="F71" s="2">
        <f t="shared" si="18"/>
        <v>6.2029439999999999E-4</v>
      </c>
      <c r="G71" s="2">
        <f t="shared" si="19"/>
        <v>1.4887065600000002E-3</v>
      </c>
      <c r="H71" s="3">
        <v>1.06</v>
      </c>
      <c r="I71" s="2">
        <f t="shared" si="20"/>
        <v>5.8518339622641504E-4</v>
      </c>
      <c r="J71" s="2">
        <f t="shared" si="21"/>
        <v>1.4044401509433963E-3</v>
      </c>
      <c r="L71" s="5" t="s">
        <v>18</v>
      </c>
      <c r="M71" s="4">
        <f>MAX(M3_leaching!F6:G6)</f>
        <v>2.42</v>
      </c>
      <c r="N71" s="2">
        <f t="shared" si="22"/>
        <v>1.0454399999999999E-3</v>
      </c>
      <c r="O71" s="2">
        <f t="shared" si="23"/>
        <v>3.7217664000000002E-3</v>
      </c>
      <c r="P71" s="2">
        <f t="shared" si="24"/>
        <v>1.1165299200000001E-2</v>
      </c>
      <c r="Q71" s="2">
        <f t="shared" si="25"/>
        <v>9.5724444444444434E-8</v>
      </c>
      <c r="R71" s="2">
        <f t="shared" si="26"/>
        <v>2.2973866666666662E-7</v>
      </c>
      <c r="S71" s="3">
        <v>1.06</v>
      </c>
      <c r="T71" s="2">
        <f t="shared" si="27"/>
        <v>9.0306079664570215E-8</v>
      </c>
      <c r="U71" s="2">
        <f t="shared" si="28"/>
        <v>2.167345911949685E-7</v>
      </c>
    </row>
    <row r="72" spans="1:21" x14ac:dyDescent="0.2">
      <c r="A72" s="5" t="s">
        <v>17</v>
      </c>
      <c r="B72" s="4">
        <f>MAX(M3_leaching!F7:G7)</f>
        <v>39</v>
      </c>
      <c r="C72" s="2">
        <f t="shared" si="15"/>
        <v>1.6847999999999998E-2</v>
      </c>
      <c r="D72" s="2">
        <f t="shared" si="16"/>
        <v>5.9978879999999998E-2</v>
      </c>
      <c r="E72" s="2">
        <f t="shared" si="17"/>
        <v>0.17993664000000001</v>
      </c>
      <c r="F72" s="2">
        <f t="shared" si="18"/>
        <v>9.9964800000000003E-3</v>
      </c>
      <c r="G72" s="2">
        <f t="shared" si="19"/>
        <v>2.3991552000000003E-2</v>
      </c>
      <c r="H72" s="3">
        <v>6.3</v>
      </c>
      <c r="I72" s="2">
        <f t="shared" si="20"/>
        <v>1.5867428571428573E-3</v>
      </c>
      <c r="J72" s="2">
        <f t="shared" si="21"/>
        <v>3.8081828571428578E-3</v>
      </c>
      <c r="L72" s="5" t="s">
        <v>17</v>
      </c>
      <c r="M72" s="4">
        <f>MAX(M3_leaching!F7:G7)</f>
        <v>39</v>
      </c>
      <c r="N72" s="2">
        <f t="shared" si="22"/>
        <v>1.6847999999999998E-2</v>
      </c>
      <c r="O72" s="2">
        <f t="shared" si="23"/>
        <v>5.9978879999999998E-2</v>
      </c>
      <c r="P72" s="2">
        <f t="shared" si="24"/>
        <v>0.17993664000000001</v>
      </c>
      <c r="Q72" s="2">
        <f t="shared" si="25"/>
        <v>1.5426666666666662E-6</v>
      </c>
      <c r="R72" s="2">
        <f t="shared" si="26"/>
        <v>3.7023999999999991E-6</v>
      </c>
      <c r="S72" s="3">
        <v>6.3</v>
      </c>
      <c r="T72" s="2">
        <f t="shared" si="27"/>
        <v>2.4486772486772479E-7</v>
      </c>
      <c r="U72" s="2">
        <f t="shared" si="28"/>
        <v>5.8768253968253955E-7</v>
      </c>
    </row>
    <row r="73" spans="1:21" x14ac:dyDescent="0.2">
      <c r="A73" s="5" t="s">
        <v>16</v>
      </c>
      <c r="B73" s="4">
        <f>MAX(M3_leaching!F8:G8)</f>
        <v>2</v>
      </c>
      <c r="C73" s="2">
        <f t="shared" si="15"/>
        <v>8.6399999999999986E-4</v>
      </c>
      <c r="D73" s="2">
        <f t="shared" si="16"/>
        <v>3.0758399999999998E-3</v>
      </c>
      <c r="E73" s="2">
        <f t="shared" si="17"/>
        <v>9.2275199999999995E-3</v>
      </c>
      <c r="F73" s="2">
        <f t="shared" si="18"/>
        <v>5.1263999999999997E-4</v>
      </c>
      <c r="G73" s="2">
        <f t="shared" si="19"/>
        <v>1.2303359999999998E-3</v>
      </c>
      <c r="H73" s="3">
        <v>1650</v>
      </c>
      <c r="I73" s="2">
        <f t="shared" si="20"/>
        <v>3.1069090909090908E-7</v>
      </c>
      <c r="J73" s="2">
        <f t="shared" si="21"/>
        <v>7.4565818181818177E-7</v>
      </c>
      <c r="L73" s="5" t="s">
        <v>16</v>
      </c>
      <c r="M73" s="4">
        <f>MAX(M3_leaching!F8:G8)</f>
        <v>2</v>
      </c>
      <c r="N73" s="2">
        <f t="shared" si="22"/>
        <v>8.6399999999999986E-4</v>
      </c>
      <c r="O73" s="2">
        <f t="shared" si="23"/>
        <v>3.0758399999999998E-3</v>
      </c>
      <c r="P73" s="2">
        <f t="shared" si="24"/>
        <v>9.2275199999999995E-3</v>
      </c>
      <c r="Q73" s="2">
        <f t="shared" si="25"/>
        <v>7.9111111111111087E-8</v>
      </c>
      <c r="R73" s="2">
        <f t="shared" si="26"/>
        <v>1.8986666666666659E-7</v>
      </c>
      <c r="S73" s="3">
        <v>1650</v>
      </c>
      <c r="T73" s="2">
        <f t="shared" si="27"/>
        <v>4.7946127946127931E-11</v>
      </c>
      <c r="U73" s="2">
        <f t="shared" si="28"/>
        <v>1.1507070707070702E-10</v>
      </c>
    </row>
    <row r="74" spans="1:21" x14ac:dyDescent="0.2">
      <c r="A74" s="5" t="s">
        <v>14</v>
      </c>
      <c r="B74" s="4">
        <f>MAX(M3_leaching!F9:G9)</f>
        <v>88.8</v>
      </c>
      <c r="C74" s="2">
        <f t="shared" si="15"/>
        <v>3.8361599999999996E-2</v>
      </c>
      <c r="D74" s="2">
        <f t="shared" si="16"/>
        <v>0.13656729599999998</v>
      </c>
      <c r="E74" s="2">
        <f t="shared" si="17"/>
        <v>0.40970188799999996</v>
      </c>
      <c r="F74" s="2">
        <f t="shared" si="18"/>
        <v>2.2761215999999997E-2</v>
      </c>
      <c r="G74" s="2">
        <f t="shared" si="19"/>
        <v>5.4626918399999995E-2</v>
      </c>
      <c r="H74" s="3">
        <v>34</v>
      </c>
      <c r="I74" s="2">
        <f t="shared" si="20"/>
        <v>6.6944752941176463E-4</v>
      </c>
      <c r="J74" s="2">
        <f t="shared" si="21"/>
        <v>1.6066740705882351E-3</v>
      </c>
      <c r="L74" s="5" t="s">
        <v>14</v>
      </c>
      <c r="M74" s="4">
        <f>MAX(M3_leaching!F9:G9)</f>
        <v>88.8</v>
      </c>
      <c r="N74" s="2">
        <f t="shared" si="22"/>
        <v>3.8361599999999996E-2</v>
      </c>
      <c r="O74" s="2">
        <f t="shared" si="23"/>
        <v>0.13656729599999998</v>
      </c>
      <c r="P74" s="2">
        <f t="shared" si="24"/>
        <v>0.40970188799999996</v>
      </c>
      <c r="Q74" s="2">
        <f t="shared" si="25"/>
        <v>3.512533333333332E-6</v>
      </c>
      <c r="R74" s="2">
        <f t="shared" si="26"/>
        <v>8.430079999999996E-6</v>
      </c>
      <c r="S74" s="3">
        <v>34</v>
      </c>
      <c r="T74" s="2">
        <f t="shared" si="27"/>
        <v>1.0330980392156858E-7</v>
      </c>
      <c r="U74" s="2">
        <f t="shared" si="28"/>
        <v>2.479435294117646E-7</v>
      </c>
    </row>
    <row r="75" spans="1:21" x14ac:dyDescent="0.2">
      <c r="A75" s="5" t="s">
        <v>13</v>
      </c>
      <c r="B75" s="4">
        <f>MAX(M3_leaching!F10:G10)</f>
        <v>2.4</v>
      </c>
      <c r="C75" s="2">
        <f t="shared" si="15"/>
        <v>1.0367999999999996E-3</v>
      </c>
      <c r="D75" s="2">
        <f t="shared" si="16"/>
        <v>3.6910079999999987E-3</v>
      </c>
      <c r="E75" s="2">
        <f t="shared" si="17"/>
        <v>1.1073023999999997E-2</v>
      </c>
      <c r="F75" s="2">
        <f t="shared" si="18"/>
        <v>6.1516799999999981E-4</v>
      </c>
      <c r="G75" s="2">
        <f t="shared" si="19"/>
        <v>1.4764031999999997E-3</v>
      </c>
      <c r="H75" s="3">
        <v>11900</v>
      </c>
      <c r="I75" s="2">
        <f t="shared" si="20"/>
        <v>5.1694789915966371E-8</v>
      </c>
      <c r="J75" s="2">
        <f t="shared" si="21"/>
        <v>1.2406749579831931E-7</v>
      </c>
      <c r="L75" s="5" t="s">
        <v>13</v>
      </c>
      <c r="M75" s="4">
        <f>MAX(M3_leaching!F10:G10)</f>
        <v>2.4</v>
      </c>
      <c r="N75" s="2">
        <f t="shared" si="22"/>
        <v>1.0367999999999996E-3</v>
      </c>
      <c r="O75" s="2">
        <f t="shared" si="23"/>
        <v>3.6910079999999987E-3</v>
      </c>
      <c r="P75" s="2">
        <f t="shared" si="24"/>
        <v>1.1073023999999997E-2</v>
      </c>
      <c r="Q75" s="2">
        <f t="shared" si="25"/>
        <v>9.4933333333333283E-8</v>
      </c>
      <c r="R75" s="2">
        <f t="shared" si="26"/>
        <v>2.2783999999999987E-7</v>
      </c>
      <c r="S75" s="3">
        <v>11900</v>
      </c>
      <c r="T75" s="2">
        <f t="shared" si="27"/>
        <v>7.9775910364145617E-12</v>
      </c>
      <c r="U75" s="2">
        <f t="shared" si="28"/>
        <v>1.9146218487394948E-11</v>
      </c>
    </row>
    <row r="76" spans="1:21" x14ac:dyDescent="0.2">
      <c r="A76" s="5" t="s">
        <v>11</v>
      </c>
      <c r="B76" s="4">
        <f>MAX(M3_leaching!F11:G11)</f>
        <v>159</v>
      </c>
      <c r="C76" s="2">
        <f t="shared" si="15"/>
        <v>6.8687999999999985E-2</v>
      </c>
      <c r="D76" s="2">
        <f t="shared" si="16"/>
        <v>0.24452927999999996</v>
      </c>
      <c r="E76" s="2">
        <f t="shared" si="17"/>
        <v>0.73358783999999999</v>
      </c>
      <c r="F76" s="2">
        <f t="shared" si="18"/>
        <v>4.0754879999999993E-2</v>
      </c>
      <c r="G76" s="2">
        <f t="shared" si="19"/>
        <v>9.7811711999999995E-2</v>
      </c>
      <c r="H76" s="3">
        <v>37</v>
      </c>
      <c r="I76" s="2">
        <f t="shared" si="20"/>
        <v>1.1014832432432431E-3</v>
      </c>
      <c r="J76" s="2">
        <f t="shared" si="21"/>
        <v>2.6435597837837837E-3</v>
      </c>
      <c r="L76" s="5" t="s">
        <v>11</v>
      </c>
      <c r="M76" s="4">
        <f>MAX(M3_leaching!F11:G11)</f>
        <v>159</v>
      </c>
      <c r="N76" s="2">
        <f t="shared" si="22"/>
        <v>6.8687999999999985E-2</v>
      </c>
      <c r="O76" s="2">
        <f t="shared" si="23"/>
        <v>0.24452927999999996</v>
      </c>
      <c r="P76" s="2">
        <f t="shared" si="24"/>
        <v>0.73358783999999999</v>
      </c>
      <c r="Q76" s="2">
        <f t="shared" si="25"/>
        <v>6.2893333333333309E-6</v>
      </c>
      <c r="R76" s="2">
        <f t="shared" si="26"/>
        <v>1.5094399999999996E-5</v>
      </c>
      <c r="S76" s="3">
        <v>37</v>
      </c>
      <c r="T76" s="2">
        <f t="shared" si="27"/>
        <v>1.6998198198198192E-7</v>
      </c>
      <c r="U76" s="2">
        <f t="shared" si="28"/>
        <v>4.0795675675675665E-7</v>
      </c>
    </row>
    <row r="77" spans="1:21" x14ac:dyDescent="0.2">
      <c r="A77" s="5" t="s">
        <v>10</v>
      </c>
      <c r="B77" s="4">
        <f>MAX(M3_leaching!F12:G12)</f>
        <v>2.9</v>
      </c>
      <c r="C77" s="2">
        <f t="shared" si="15"/>
        <v>1.2527999999999997E-3</v>
      </c>
      <c r="D77" s="2">
        <f t="shared" si="16"/>
        <v>4.4599679999999991E-3</v>
      </c>
      <c r="E77" s="2">
        <f t="shared" si="17"/>
        <v>1.3379903999999998E-2</v>
      </c>
      <c r="F77" s="2">
        <f t="shared" si="18"/>
        <v>7.4332799999999981E-4</v>
      </c>
      <c r="G77" s="2">
        <f t="shared" si="19"/>
        <v>1.7839871999999998E-3</v>
      </c>
      <c r="H77" s="3">
        <v>4.0999999999999996</v>
      </c>
      <c r="I77" s="2">
        <f t="shared" si="20"/>
        <v>1.8129951219512193E-4</v>
      </c>
      <c r="J77" s="2">
        <f t="shared" si="21"/>
        <v>4.3511882926829267E-4</v>
      </c>
      <c r="L77" s="5" t="s">
        <v>10</v>
      </c>
      <c r="M77" s="4">
        <f>MAX(M3_leaching!F12:G12)</f>
        <v>2.9</v>
      </c>
      <c r="N77" s="2">
        <f t="shared" si="22"/>
        <v>1.2527999999999997E-3</v>
      </c>
      <c r="O77" s="2">
        <f t="shared" si="23"/>
        <v>4.4599679999999991E-3</v>
      </c>
      <c r="P77" s="2">
        <f t="shared" si="24"/>
        <v>1.3379903999999998E-2</v>
      </c>
      <c r="Q77" s="2">
        <f t="shared" si="25"/>
        <v>1.1471111111111106E-7</v>
      </c>
      <c r="R77" s="2">
        <f t="shared" si="26"/>
        <v>2.7530666666666657E-7</v>
      </c>
      <c r="S77" s="3">
        <v>4.0999999999999996</v>
      </c>
      <c r="T77" s="2">
        <f t="shared" si="27"/>
        <v>2.7978319783197821E-8</v>
      </c>
      <c r="U77" s="2">
        <f t="shared" si="28"/>
        <v>6.7147967479674784E-8</v>
      </c>
    </row>
    <row r="78" spans="1:21" x14ac:dyDescent="0.2">
      <c r="A78" s="5" t="s">
        <v>9</v>
      </c>
      <c r="B78" s="4">
        <f>MAX(M3_leaching!F13:G13)</f>
        <v>365</v>
      </c>
      <c r="C78" s="2">
        <f t="shared" si="15"/>
        <v>0.15767999999999999</v>
      </c>
      <c r="D78" s="2">
        <f t="shared" si="16"/>
        <v>0.56134080000000008</v>
      </c>
      <c r="E78" s="2">
        <f t="shared" si="17"/>
        <v>1.6840224000000001</v>
      </c>
      <c r="F78" s="2">
        <f t="shared" si="18"/>
        <v>9.3556800000000009E-2</v>
      </c>
      <c r="G78" s="2">
        <f t="shared" si="19"/>
        <v>0.22453632000000001</v>
      </c>
      <c r="H78" s="3">
        <v>14.4</v>
      </c>
      <c r="I78" s="2">
        <f t="shared" si="20"/>
        <v>6.4970000000000002E-3</v>
      </c>
      <c r="J78" s="2">
        <f t="shared" si="21"/>
        <v>1.55928E-2</v>
      </c>
      <c r="L78" s="5" t="s">
        <v>9</v>
      </c>
      <c r="M78" s="4">
        <f>MAX(M3_leaching!F13:G13)</f>
        <v>365</v>
      </c>
      <c r="N78" s="2">
        <f t="shared" si="22"/>
        <v>0.15767999999999999</v>
      </c>
      <c r="O78" s="2">
        <f t="shared" si="23"/>
        <v>0.56134080000000008</v>
      </c>
      <c r="P78" s="2">
        <f t="shared" si="24"/>
        <v>1.6840224000000001</v>
      </c>
      <c r="Q78" s="2">
        <f t="shared" si="25"/>
        <v>1.4437777777777778E-5</v>
      </c>
      <c r="R78" s="2">
        <f t="shared" si="26"/>
        <v>3.4650666666666657E-5</v>
      </c>
      <c r="S78" s="3">
        <v>14.4</v>
      </c>
      <c r="T78" s="2">
        <f t="shared" si="27"/>
        <v>1.0026234567901235E-6</v>
      </c>
      <c r="U78" s="2">
        <f t="shared" si="28"/>
        <v>2.4062962962962954E-6</v>
      </c>
    </row>
    <row r="79" spans="1:21" x14ac:dyDescent="0.2">
      <c r="A79" s="5" t="s">
        <v>6</v>
      </c>
      <c r="B79" s="4">
        <f>MAX(M3_leaching!F14:G14)</f>
        <v>5.6000000000000001E-2</v>
      </c>
      <c r="C79" s="2">
        <f t="shared" si="15"/>
        <v>2.4191999999999998E-5</v>
      </c>
      <c r="D79" s="2">
        <f t="shared" si="16"/>
        <v>8.6123519999999998E-5</v>
      </c>
      <c r="E79" s="2">
        <f t="shared" si="17"/>
        <v>2.5837056000000005E-4</v>
      </c>
      <c r="F79" s="2">
        <f t="shared" si="18"/>
        <v>1.435392E-5</v>
      </c>
      <c r="G79" s="2">
        <f t="shared" si="19"/>
        <v>3.4449408000000004E-5</v>
      </c>
      <c r="H79" s="3">
        <v>0.19</v>
      </c>
      <c r="I79" s="2">
        <f t="shared" si="20"/>
        <v>7.5546947368421055E-5</v>
      </c>
      <c r="J79" s="2">
        <f t="shared" si="21"/>
        <v>1.8131267368421054E-4</v>
      </c>
      <c r="L79" s="5" t="s">
        <v>6</v>
      </c>
      <c r="M79" s="4">
        <f>MAX(M3_leaching!F14:G14)</f>
        <v>5.6000000000000001E-2</v>
      </c>
      <c r="N79" s="2">
        <f t="shared" si="22"/>
        <v>2.4191999999999998E-5</v>
      </c>
      <c r="O79" s="2">
        <f t="shared" si="23"/>
        <v>8.6123519999999998E-5</v>
      </c>
      <c r="P79" s="2">
        <f t="shared" si="24"/>
        <v>2.5837056000000005E-4</v>
      </c>
      <c r="Q79" s="2">
        <f t="shared" si="25"/>
        <v>2.2151111111111108E-9</v>
      </c>
      <c r="R79" s="2">
        <f t="shared" si="26"/>
        <v>5.3162666666666662E-9</v>
      </c>
      <c r="S79" s="3">
        <v>0.19</v>
      </c>
      <c r="T79" s="2">
        <f t="shared" si="27"/>
        <v>1.165847953216374E-8</v>
      </c>
      <c r="U79" s="2">
        <f t="shared" si="28"/>
        <v>2.798035087719298E-8</v>
      </c>
    </row>
    <row r="80" spans="1:21" x14ac:dyDescent="0.2">
      <c r="A80" s="5" t="s">
        <v>5</v>
      </c>
      <c r="B80" s="4">
        <f>MAX(M3_leaching!F15:G15)</f>
        <v>0.81399999999999995</v>
      </c>
      <c r="C80" s="2">
        <f t="shared" si="15"/>
        <v>3.5164799999999992E-4</v>
      </c>
      <c r="D80" s="2">
        <f t="shared" si="16"/>
        <v>1.2518668799999999E-3</v>
      </c>
      <c r="E80" s="2">
        <f t="shared" si="17"/>
        <v>3.7556006399999996E-3</v>
      </c>
      <c r="F80" s="2">
        <f t="shared" si="18"/>
        <v>2.0864447999999997E-4</v>
      </c>
      <c r="G80" s="2">
        <f t="shared" si="19"/>
        <v>5.0074675199999997E-4</v>
      </c>
      <c r="H80" s="3">
        <v>6.5</v>
      </c>
      <c r="I80" s="2">
        <f t="shared" si="20"/>
        <v>3.2099150769230764E-5</v>
      </c>
      <c r="J80" s="2">
        <f t="shared" si="21"/>
        <v>7.7037961846153846E-5</v>
      </c>
      <c r="L80" s="5" t="s">
        <v>5</v>
      </c>
      <c r="M80" s="4">
        <f>MAX(M3_leaching!F15:G15)</f>
        <v>0.81399999999999995</v>
      </c>
      <c r="N80" s="2">
        <f t="shared" si="22"/>
        <v>3.5164799999999992E-4</v>
      </c>
      <c r="O80" s="2">
        <f t="shared" si="23"/>
        <v>1.2518668799999999E-3</v>
      </c>
      <c r="P80" s="2">
        <f t="shared" si="24"/>
        <v>3.7556006399999996E-3</v>
      </c>
      <c r="Q80" s="2">
        <f t="shared" si="25"/>
        <v>3.219822222222221E-8</v>
      </c>
      <c r="R80" s="2">
        <f t="shared" si="26"/>
        <v>7.7275733333333307E-8</v>
      </c>
      <c r="S80" s="3">
        <v>6.5</v>
      </c>
      <c r="T80" s="2">
        <f t="shared" si="27"/>
        <v>4.9535726495726474E-9</v>
      </c>
      <c r="U80" s="2">
        <f t="shared" si="28"/>
        <v>1.1888574358974354E-8</v>
      </c>
    </row>
    <row r="81" spans="1:21" x14ac:dyDescent="0.2">
      <c r="A81" s="5" t="s">
        <v>4</v>
      </c>
      <c r="B81" s="4">
        <f>MAX(M3_leaching!F16:G16)</f>
        <v>42.9</v>
      </c>
      <c r="C81" s="2">
        <f t="shared" si="15"/>
        <v>1.8532799999999999E-2</v>
      </c>
      <c r="D81" s="2">
        <f t="shared" si="16"/>
        <v>6.5976767999999991E-2</v>
      </c>
      <c r="E81" s="2">
        <f t="shared" si="17"/>
        <v>0.197930304</v>
      </c>
      <c r="F81" s="2">
        <f t="shared" si="18"/>
        <v>1.0996127999999999E-2</v>
      </c>
      <c r="G81" s="2">
        <f t="shared" si="19"/>
        <v>2.6390707199999999E-2</v>
      </c>
      <c r="H81" s="3">
        <v>20</v>
      </c>
      <c r="I81" s="2">
        <f t="shared" si="20"/>
        <v>5.4980639999999993E-4</v>
      </c>
      <c r="J81" s="2">
        <f t="shared" si="21"/>
        <v>1.31953536E-3</v>
      </c>
      <c r="L81" s="5" t="s">
        <v>4</v>
      </c>
      <c r="M81" s="4">
        <f>MAX(M3_leaching!F16:G16)</f>
        <v>42.9</v>
      </c>
      <c r="N81" s="2">
        <f t="shared" si="22"/>
        <v>1.8532799999999999E-2</v>
      </c>
      <c r="O81" s="2">
        <f t="shared" si="23"/>
        <v>6.5976767999999991E-2</v>
      </c>
      <c r="P81" s="2">
        <f t="shared" si="24"/>
        <v>0.197930304</v>
      </c>
      <c r="Q81" s="2">
        <f t="shared" si="25"/>
        <v>1.6969333333333328E-6</v>
      </c>
      <c r="R81" s="2">
        <f t="shared" si="26"/>
        <v>4.0726399999999992E-6</v>
      </c>
      <c r="S81" s="3">
        <v>20</v>
      </c>
      <c r="T81" s="2">
        <f t="shared" si="27"/>
        <v>8.4846666666666636E-8</v>
      </c>
      <c r="U81" s="2">
        <f t="shared" si="28"/>
        <v>2.0363199999999995E-7</v>
      </c>
    </row>
    <row r="82" spans="1:21" x14ac:dyDescent="0.2">
      <c r="A82" s="5" t="s">
        <v>3</v>
      </c>
      <c r="B82" s="4">
        <f>MAX(M3_leaching!F17:G17)</f>
        <v>0</v>
      </c>
      <c r="C82" s="2">
        <f t="shared" si="15"/>
        <v>0</v>
      </c>
      <c r="D82" s="2">
        <f t="shared" si="16"/>
        <v>0</v>
      </c>
      <c r="E82" s="2">
        <f t="shared" si="17"/>
        <v>0</v>
      </c>
      <c r="F82" s="2">
        <f t="shared" si="18"/>
        <v>0</v>
      </c>
      <c r="G82" s="2">
        <f t="shared" si="19"/>
        <v>0</v>
      </c>
      <c r="H82" s="3">
        <v>2.4</v>
      </c>
      <c r="I82" s="2">
        <f t="shared" si="20"/>
        <v>0</v>
      </c>
      <c r="J82" s="2">
        <f t="shared" si="21"/>
        <v>0</v>
      </c>
      <c r="L82" s="5" t="s">
        <v>3</v>
      </c>
      <c r="M82" s="4">
        <f>MAX(M3_leaching!F17:G17)</f>
        <v>0</v>
      </c>
      <c r="N82" s="2">
        <f t="shared" si="22"/>
        <v>0</v>
      </c>
      <c r="O82" s="2">
        <f t="shared" si="23"/>
        <v>0</v>
      </c>
      <c r="P82" s="2">
        <f t="shared" si="24"/>
        <v>0</v>
      </c>
      <c r="Q82" s="2">
        <f t="shared" si="25"/>
        <v>0</v>
      </c>
      <c r="R82" s="2">
        <f t="shared" si="26"/>
        <v>0</v>
      </c>
      <c r="S82" s="3">
        <v>2.4</v>
      </c>
      <c r="T82" s="2">
        <f t="shared" si="27"/>
        <v>0</v>
      </c>
      <c r="U82" s="2">
        <f t="shared" si="28"/>
        <v>0</v>
      </c>
    </row>
    <row r="83" spans="1:21" x14ac:dyDescent="0.2">
      <c r="A83" s="5" t="s">
        <v>2</v>
      </c>
      <c r="B83" s="4">
        <f>MAX(M3_leaching!F18:G18)</f>
        <v>3.67</v>
      </c>
      <c r="C83" s="2">
        <f t="shared" si="15"/>
        <v>1.5854399999999998E-3</v>
      </c>
      <c r="D83" s="2">
        <f t="shared" si="16"/>
        <v>5.6441664000000001E-3</v>
      </c>
      <c r="E83" s="2">
        <f t="shared" si="17"/>
        <v>1.6932499199999999E-2</v>
      </c>
      <c r="F83" s="2">
        <f t="shared" si="18"/>
        <v>9.4069439999999998E-4</v>
      </c>
      <c r="G83" s="2">
        <f t="shared" si="19"/>
        <v>2.2576665600000001E-3</v>
      </c>
      <c r="H83" s="3">
        <v>5.6</v>
      </c>
      <c r="I83" s="2">
        <f t="shared" si="20"/>
        <v>1.6798114285714285E-4</v>
      </c>
      <c r="J83" s="2">
        <f t="shared" si="21"/>
        <v>4.031547428571429E-4</v>
      </c>
      <c r="L83" s="5" t="s">
        <v>2</v>
      </c>
      <c r="M83" s="4">
        <f>MAX(M3_leaching!F18:G18)</f>
        <v>3.67</v>
      </c>
      <c r="N83" s="2">
        <f t="shared" si="22"/>
        <v>1.5854399999999998E-3</v>
      </c>
      <c r="O83" s="2">
        <f t="shared" si="23"/>
        <v>5.6441664000000001E-3</v>
      </c>
      <c r="P83" s="2">
        <f t="shared" si="24"/>
        <v>1.6932499199999999E-2</v>
      </c>
      <c r="Q83" s="2">
        <f t="shared" si="25"/>
        <v>1.4516888888888885E-7</v>
      </c>
      <c r="R83" s="2">
        <f t="shared" si="26"/>
        <v>3.4840533333333324E-7</v>
      </c>
      <c r="S83" s="3">
        <v>5.6</v>
      </c>
      <c r="T83" s="2">
        <f t="shared" si="27"/>
        <v>2.592301587301587E-8</v>
      </c>
      <c r="U83" s="2">
        <f t="shared" si="28"/>
        <v>6.2215238095238076E-8</v>
      </c>
    </row>
    <row r="84" spans="1:21" x14ac:dyDescent="0.2">
      <c r="A84" s="5" t="s">
        <v>1</v>
      </c>
      <c r="B84" s="4">
        <f>MAX(M3_leaching!F19:G19)</f>
        <v>3020</v>
      </c>
      <c r="C84" s="2">
        <f t="shared" si="15"/>
        <v>1.3046399999999998</v>
      </c>
      <c r="D84" s="2">
        <f t="shared" si="16"/>
        <v>4.6445183999999999</v>
      </c>
      <c r="E84" s="2">
        <f t="shared" si="17"/>
        <v>13.933555199999999</v>
      </c>
      <c r="F84" s="2">
        <f t="shared" si="18"/>
        <v>0.77408639999999995</v>
      </c>
      <c r="G84" s="2">
        <f t="shared" si="19"/>
        <v>1.8578073599999998</v>
      </c>
      <c r="H84" s="3">
        <v>28</v>
      </c>
      <c r="I84" s="2">
        <f t="shared" si="20"/>
        <v>2.7645942857142856E-2</v>
      </c>
      <c r="J84" s="2">
        <f t="shared" si="21"/>
        <v>6.635026285714285E-2</v>
      </c>
      <c r="L84" s="5" t="s">
        <v>1</v>
      </c>
      <c r="M84" s="4">
        <f>MAX(M3_leaching!F19:G19)</f>
        <v>3020</v>
      </c>
      <c r="N84" s="2">
        <f t="shared" si="22"/>
        <v>1.3046399999999998</v>
      </c>
      <c r="O84" s="2">
        <f t="shared" si="23"/>
        <v>4.6445183999999999</v>
      </c>
      <c r="P84" s="2">
        <f t="shared" si="24"/>
        <v>13.933555199999999</v>
      </c>
      <c r="Q84" s="2">
        <f t="shared" si="25"/>
        <v>1.1945777777777775E-4</v>
      </c>
      <c r="R84" s="2">
        <f t="shared" si="26"/>
        <v>2.8669866666666659E-4</v>
      </c>
      <c r="S84" s="3">
        <v>28</v>
      </c>
      <c r="T84" s="2">
        <f t="shared" si="27"/>
        <v>4.2663492063492055E-6</v>
      </c>
      <c r="U84" s="2">
        <f t="shared" si="28"/>
        <v>1.0239238095238092E-5</v>
      </c>
    </row>
    <row r="85" spans="1:21" x14ac:dyDescent="0.2">
      <c r="A85" s="5" t="s">
        <v>0</v>
      </c>
      <c r="B85" s="4">
        <f>MAX(M3_leaching!F20:G20)</f>
        <v>0</v>
      </c>
      <c r="C85" s="2">
        <f t="shared" si="15"/>
        <v>0</v>
      </c>
      <c r="D85" s="2">
        <f t="shared" si="16"/>
        <v>0</v>
      </c>
      <c r="E85" s="2">
        <f t="shared" si="17"/>
        <v>0</v>
      </c>
      <c r="F85" s="2">
        <f t="shared" si="18"/>
        <v>0</v>
      </c>
      <c r="G85" s="2">
        <f t="shared" si="19"/>
        <v>0</v>
      </c>
      <c r="H85" s="3">
        <v>170</v>
      </c>
      <c r="I85" s="2">
        <f t="shared" si="20"/>
        <v>0</v>
      </c>
      <c r="J85" s="2">
        <f t="shared" si="21"/>
        <v>0</v>
      </c>
      <c r="L85" s="5" t="s">
        <v>0</v>
      </c>
      <c r="M85" s="4">
        <f>MAX(M3_leaching!F20:G20)</f>
        <v>0</v>
      </c>
      <c r="N85" s="2">
        <f t="shared" si="22"/>
        <v>0</v>
      </c>
      <c r="O85" s="2">
        <f t="shared" si="23"/>
        <v>0</v>
      </c>
      <c r="P85" s="2">
        <f t="shared" si="24"/>
        <v>0</v>
      </c>
      <c r="Q85" s="2">
        <f t="shared" si="25"/>
        <v>0</v>
      </c>
      <c r="R85" s="2">
        <f t="shared" si="26"/>
        <v>0</v>
      </c>
      <c r="S85" s="3">
        <v>170</v>
      </c>
      <c r="T85" s="2">
        <f t="shared" si="27"/>
        <v>0</v>
      </c>
      <c r="U85" s="2">
        <f t="shared" si="28"/>
        <v>0</v>
      </c>
    </row>
  </sheetData>
  <mergeCells count="14">
    <mergeCell ref="A32:F32"/>
    <mergeCell ref="A1:F1"/>
    <mergeCell ref="A10:F10"/>
    <mergeCell ref="A11:C11"/>
    <mergeCell ref="D11:F11"/>
    <mergeCell ref="A21:F21"/>
    <mergeCell ref="A65:J65"/>
    <mergeCell ref="L65:U65"/>
    <mergeCell ref="A42:J42"/>
    <mergeCell ref="L42:U42"/>
    <mergeCell ref="A43:J43"/>
    <mergeCell ref="L43:U43"/>
    <mergeCell ref="A64:J64"/>
    <mergeCell ref="L64:U64"/>
  </mergeCells>
  <conditionalFormatting sqref="I46:J63">
    <cfRule type="cellIs" dxfId="40" priority="14" operator="greaterThan">
      <formula>1</formula>
    </cfRule>
    <cfRule type="cellIs" dxfId="39" priority="13" operator="lessThan">
      <formula>1</formula>
    </cfRule>
  </conditionalFormatting>
  <conditionalFormatting sqref="I68:J85">
    <cfRule type="cellIs" dxfId="38" priority="9" operator="lessThan">
      <formula>1</formula>
    </cfRule>
    <cfRule type="cellIs" dxfId="37" priority="10" operator="greaterThan">
      <formula>1</formula>
    </cfRule>
  </conditionalFormatting>
  <conditionalFormatting sqref="T46:U63">
    <cfRule type="cellIs" dxfId="36" priority="6" operator="greaterThan">
      <formula>1</formula>
    </cfRule>
    <cfRule type="cellIs" dxfId="35" priority="5" operator="lessThan">
      <formula>1</formula>
    </cfRule>
  </conditionalFormatting>
  <conditionalFormatting sqref="T68:U85">
    <cfRule type="cellIs" dxfId="34" priority="2" operator="greaterThan">
      <formula>1</formula>
    </cfRule>
    <cfRule type="cellIs" dxfId="33" priority="1" operator="lessThan">
      <formula>1</formula>
    </cfRule>
  </conditionalFormatting>
  <pageMargins left="0.7" right="0.7" top="0.75" bottom="0.75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8D1BC-4593-443C-AF5A-C9E168517D4F}">
  <dimension ref="A1:AN220"/>
  <sheetViews>
    <sheetView workbookViewId="0">
      <selection activeCell="F3" sqref="F3:G20"/>
    </sheetView>
  </sheetViews>
  <sheetFormatPr baseColWidth="10" defaultColWidth="10" defaultRowHeight="14" x14ac:dyDescent="0.2"/>
  <cols>
    <col min="1" max="1" width="10.1640625" style="20" bestFit="1" customWidth="1"/>
    <col min="2" max="2" width="10" style="46"/>
    <col min="3" max="4" width="10.1640625" style="20" customWidth="1"/>
    <col min="5" max="5" width="12.5" style="20" customWidth="1"/>
    <col min="6" max="11" width="11.1640625" style="20" customWidth="1"/>
    <col min="12" max="13" width="10.1640625" style="20" customWidth="1"/>
    <col min="14" max="14" width="11.6640625" style="46" customWidth="1"/>
    <col min="15" max="15" width="12.5" style="38" bestFit="1" customWidth="1"/>
    <col min="16" max="18" width="10.33203125" style="38" bestFit="1" customWidth="1"/>
    <col min="19" max="19" width="10.1640625" style="20" bestFit="1" customWidth="1"/>
    <col min="20" max="16384" width="10" style="20"/>
  </cols>
  <sheetData>
    <row r="1" spans="1:19" ht="35" customHeight="1" x14ac:dyDescent="0.2">
      <c r="B1" s="21" t="s">
        <v>99</v>
      </c>
      <c r="C1" s="100" t="s">
        <v>100</v>
      </c>
      <c r="D1" s="101"/>
      <c r="E1" s="22" t="s">
        <v>101</v>
      </c>
      <c r="F1" s="62" t="s">
        <v>154</v>
      </c>
      <c r="G1" s="62" t="s">
        <v>155</v>
      </c>
      <c r="H1" s="62" t="s">
        <v>156</v>
      </c>
      <c r="I1" s="62" t="s">
        <v>157</v>
      </c>
      <c r="J1" s="62" t="s">
        <v>158</v>
      </c>
      <c r="K1" s="62" t="s">
        <v>159</v>
      </c>
      <c r="L1" s="25" t="s">
        <v>160</v>
      </c>
      <c r="M1" s="25" t="s">
        <v>161</v>
      </c>
      <c r="N1" s="26" t="s">
        <v>104</v>
      </c>
      <c r="O1" s="27" t="s">
        <v>105</v>
      </c>
      <c r="P1" s="28" t="s">
        <v>106</v>
      </c>
      <c r="Q1" s="28" t="s">
        <v>107</v>
      </c>
      <c r="R1" s="28" t="s">
        <v>108</v>
      </c>
      <c r="S1" s="102" t="s">
        <v>109</v>
      </c>
    </row>
    <row r="2" spans="1:19" ht="16" x14ac:dyDescent="0.2">
      <c r="B2" s="29" t="s">
        <v>110</v>
      </c>
      <c r="C2" s="30" t="s">
        <v>111</v>
      </c>
      <c r="D2" s="30" t="s">
        <v>112</v>
      </c>
      <c r="E2" s="31" t="s">
        <v>113</v>
      </c>
      <c r="F2" s="31" t="s">
        <v>113</v>
      </c>
      <c r="G2" s="31" t="s">
        <v>113</v>
      </c>
      <c r="H2" s="31" t="s">
        <v>113</v>
      </c>
      <c r="I2" s="31" t="s">
        <v>113</v>
      </c>
      <c r="J2" s="31" t="s">
        <v>113</v>
      </c>
      <c r="K2" s="31" t="s">
        <v>113</v>
      </c>
      <c r="L2" s="31" t="s">
        <v>113</v>
      </c>
      <c r="M2" s="31" t="s">
        <v>113</v>
      </c>
      <c r="N2" s="32" t="s">
        <v>113</v>
      </c>
      <c r="O2" s="33" t="s">
        <v>27</v>
      </c>
      <c r="P2" s="34" t="s">
        <v>27</v>
      </c>
      <c r="Q2" s="34" t="s">
        <v>27</v>
      </c>
      <c r="R2" s="34" t="s">
        <v>27</v>
      </c>
      <c r="S2" s="103"/>
    </row>
    <row r="3" spans="1:19" ht="15" x14ac:dyDescent="0.2">
      <c r="A3" s="20">
        <v>1</v>
      </c>
      <c r="B3" s="35" t="s">
        <v>114</v>
      </c>
      <c r="C3" s="36">
        <v>0</v>
      </c>
      <c r="D3" s="36">
        <f>C3*1000</f>
        <v>0</v>
      </c>
      <c r="E3" s="36"/>
      <c r="F3" s="35">
        <v>1.09E-2</v>
      </c>
      <c r="G3" s="35">
        <v>5.4999999999999997E-3</v>
      </c>
      <c r="H3" s="35">
        <v>1.06E-2</v>
      </c>
      <c r="I3" s="35">
        <v>1.09E-2</v>
      </c>
      <c r="J3" s="35">
        <v>6.1000000000000004E-3</v>
      </c>
      <c r="K3" s="35">
        <v>0</v>
      </c>
      <c r="L3" s="37">
        <v>0</v>
      </c>
      <c r="M3" s="35">
        <v>0</v>
      </c>
      <c r="N3" s="7">
        <v>5.7000000000000002E-2</v>
      </c>
      <c r="O3" s="38">
        <f>MAX(F3:G3)/$N3</f>
        <v>0.19122807017543858</v>
      </c>
      <c r="P3" s="38">
        <f>MAX(H3:I3)/$N3</f>
        <v>0.19122807017543858</v>
      </c>
      <c r="Q3" s="38">
        <f>MAX(J3:K3)/$N3</f>
        <v>0.10701754385964912</v>
      </c>
      <c r="R3" s="38">
        <f>MAX(L3:M3)/$N3</f>
        <v>0</v>
      </c>
      <c r="S3" s="20">
        <v>1</v>
      </c>
    </row>
    <row r="4" spans="1:19" ht="15" x14ac:dyDescent="0.2">
      <c r="A4" s="20">
        <v>2</v>
      </c>
      <c r="B4" s="39" t="s">
        <v>115</v>
      </c>
      <c r="C4" s="36">
        <f>17.7*0.3</f>
        <v>5.31</v>
      </c>
      <c r="D4" s="36">
        <f t="shared" ref="D4:D19" si="0">C4*1000</f>
        <v>5310</v>
      </c>
      <c r="E4" s="36"/>
      <c r="F4" s="40">
        <v>104</v>
      </c>
      <c r="G4" s="41">
        <v>86.6</v>
      </c>
      <c r="H4" s="41">
        <v>116</v>
      </c>
      <c r="I4" s="40">
        <v>116</v>
      </c>
      <c r="J4" s="40">
        <v>7.44</v>
      </c>
      <c r="K4" s="40">
        <v>12.5</v>
      </c>
      <c r="L4" s="40">
        <v>2.1</v>
      </c>
      <c r="M4" s="40">
        <v>1.96</v>
      </c>
      <c r="N4" s="7">
        <v>114.7</v>
      </c>
      <c r="O4" s="38">
        <f>MAX(F4:G4)/$N4</f>
        <v>0.90671316477768094</v>
      </c>
      <c r="P4" s="38">
        <f>MAX(H4:I4)/$N4</f>
        <v>1.0113339145597209</v>
      </c>
      <c r="Q4" s="38">
        <f>MAX(J4:K4)/$N4</f>
        <v>0.1089799476896251</v>
      </c>
      <c r="R4" s="38">
        <f>MAX(L4:M4)/$N4</f>
        <v>1.830863121185702E-2</v>
      </c>
      <c r="S4" s="20">
        <v>1</v>
      </c>
    </row>
    <row r="5" spans="1:19" ht="15" x14ac:dyDescent="0.2">
      <c r="A5" s="20">
        <v>3</v>
      </c>
      <c r="B5" s="42" t="s">
        <v>116</v>
      </c>
      <c r="C5" s="43">
        <f>0.187*0.3</f>
        <v>5.6099999999999997E-2</v>
      </c>
      <c r="D5" s="36">
        <f t="shared" si="0"/>
        <v>56.099999999999994</v>
      </c>
      <c r="E5" s="36"/>
      <c r="F5" s="44">
        <v>142</v>
      </c>
      <c r="G5" s="44">
        <v>134</v>
      </c>
      <c r="H5" s="44">
        <v>252</v>
      </c>
      <c r="I5" s="44">
        <v>222</v>
      </c>
      <c r="J5" s="44">
        <v>139</v>
      </c>
      <c r="K5" s="44">
        <v>139</v>
      </c>
      <c r="L5" s="44">
        <v>60</v>
      </c>
      <c r="M5" s="44">
        <v>54</v>
      </c>
      <c r="N5" s="6">
        <v>2900</v>
      </c>
      <c r="O5" s="38">
        <f>MAX(F5:G5)/N5</f>
        <v>4.8965517241379312E-2</v>
      </c>
      <c r="P5" s="38">
        <f t="shared" ref="P5:P19" si="1">MAX(H5:I5)/$N5</f>
        <v>8.6896551724137933E-2</v>
      </c>
      <c r="Q5" s="38">
        <f t="shared" ref="Q5:Q19" si="2">MAX(J5:K5)/$N5</f>
        <v>4.7931034482758622E-2</v>
      </c>
      <c r="R5" s="38">
        <f t="shared" ref="R5:R19" si="3">MAX(L5:M5)/$N5</f>
        <v>2.0689655172413793E-2</v>
      </c>
      <c r="S5" s="20">
        <v>1</v>
      </c>
    </row>
    <row r="6" spans="1:19" s="39" customFormat="1" ht="15" x14ac:dyDescent="0.2">
      <c r="A6" s="20">
        <v>4</v>
      </c>
      <c r="B6" s="39" t="s">
        <v>117</v>
      </c>
      <c r="C6" s="39">
        <f>0.0296*0.3</f>
        <v>8.8800000000000007E-3</v>
      </c>
      <c r="D6" s="39">
        <f>C6*1000</f>
        <v>8.8800000000000008</v>
      </c>
      <c r="E6" s="39">
        <v>200</v>
      </c>
      <c r="F6" s="39">
        <v>22.2</v>
      </c>
      <c r="G6" s="39">
        <v>20.100000000000001</v>
      </c>
      <c r="H6" s="39">
        <v>19.5</v>
      </c>
      <c r="I6" s="39">
        <v>17.8</v>
      </c>
      <c r="J6" s="39">
        <v>2.64</v>
      </c>
      <c r="K6" s="39">
        <v>3.69</v>
      </c>
      <c r="L6" s="39">
        <v>0</v>
      </c>
      <c r="M6" s="39">
        <v>0</v>
      </c>
      <c r="N6" s="3">
        <v>1.06</v>
      </c>
      <c r="O6" s="39">
        <f>MAX(F6:G6)/N6</f>
        <v>20.943396226415093</v>
      </c>
      <c r="P6" s="39">
        <f t="shared" si="1"/>
        <v>18.39622641509434</v>
      </c>
      <c r="Q6" s="39">
        <f t="shared" si="2"/>
        <v>3.4811320754716979</v>
      </c>
      <c r="R6" s="39">
        <f t="shared" si="3"/>
        <v>0</v>
      </c>
      <c r="S6" s="39">
        <v>1</v>
      </c>
    </row>
    <row r="7" spans="1:19" s="39" customFormat="1" ht="15" x14ac:dyDescent="0.2">
      <c r="A7" s="20">
        <v>5</v>
      </c>
      <c r="B7" s="39" t="s">
        <v>118</v>
      </c>
      <c r="C7" s="39">
        <f>4.28*0.3</f>
        <v>1.284</v>
      </c>
      <c r="D7" s="39">
        <f t="shared" si="0"/>
        <v>1284</v>
      </c>
      <c r="E7" s="39">
        <v>1000</v>
      </c>
      <c r="F7" s="39">
        <v>319</v>
      </c>
      <c r="G7" s="39">
        <v>236</v>
      </c>
      <c r="H7" s="39">
        <v>145</v>
      </c>
      <c r="I7" s="39">
        <v>142</v>
      </c>
      <c r="J7" s="39">
        <v>22</v>
      </c>
      <c r="K7" s="39">
        <v>16.5</v>
      </c>
      <c r="L7" s="39">
        <v>0</v>
      </c>
      <c r="M7" s="39">
        <v>0</v>
      </c>
      <c r="N7" s="3">
        <v>6.3</v>
      </c>
      <c r="O7" s="39">
        <f>MAX(F7:G7)/N7</f>
        <v>50.63492063492064</v>
      </c>
      <c r="P7" s="39">
        <f t="shared" si="1"/>
        <v>23.015873015873016</v>
      </c>
      <c r="Q7" s="39">
        <f t="shared" si="2"/>
        <v>3.4920634920634921</v>
      </c>
      <c r="R7" s="39">
        <f>MAX(L7:M7)/$N7</f>
        <v>0</v>
      </c>
      <c r="S7" s="39">
        <v>1</v>
      </c>
    </row>
    <row r="8" spans="1:19" s="39" customFormat="1" ht="15" x14ac:dyDescent="0.2">
      <c r="A8" s="20">
        <v>6</v>
      </c>
      <c r="B8" s="39" t="s">
        <v>16</v>
      </c>
      <c r="C8" s="39">
        <v>0</v>
      </c>
      <c r="D8" s="39">
        <f>C8*1000</f>
        <v>0</v>
      </c>
      <c r="F8" s="39">
        <v>17.399999999999999</v>
      </c>
      <c r="G8" s="39">
        <v>17</v>
      </c>
      <c r="H8" s="39">
        <v>23.9</v>
      </c>
      <c r="I8" s="39">
        <v>28.1</v>
      </c>
      <c r="J8" s="39">
        <v>11.9</v>
      </c>
      <c r="K8" s="39">
        <v>11.5</v>
      </c>
      <c r="L8" s="39">
        <v>0</v>
      </c>
      <c r="M8" s="39">
        <v>0</v>
      </c>
      <c r="N8" s="3">
        <v>1650</v>
      </c>
      <c r="O8" s="39">
        <f>MAX(F8:G8)/N8</f>
        <v>1.0545454545454545E-2</v>
      </c>
      <c r="P8" s="39">
        <f t="shared" si="1"/>
        <v>1.7030303030303031E-2</v>
      </c>
      <c r="Q8" s="39">
        <f t="shared" si="2"/>
        <v>7.2121212121212122E-3</v>
      </c>
      <c r="R8" s="39">
        <f>MAX(L8:M8)/$N8</f>
        <v>0</v>
      </c>
      <c r="S8" s="39">
        <v>1</v>
      </c>
    </row>
    <row r="9" spans="1:19" s="39" customFormat="1" ht="15" x14ac:dyDescent="0.2">
      <c r="A9" s="20">
        <v>7</v>
      </c>
      <c r="B9" s="39" t="s">
        <v>119</v>
      </c>
      <c r="C9" s="39">
        <f>3.98*0.3</f>
        <v>1.194</v>
      </c>
      <c r="D9" s="39">
        <f t="shared" si="0"/>
        <v>1194</v>
      </c>
      <c r="E9" s="39">
        <v>500</v>
      </c>
      <c r="F9" s="39">
        <v>754</v>
      </c>
      <c r="G9" s="39">
        <v>814</v>
      </c>
      <c r="H9" s="39">
        <v>1000</v>
      </c>
      <c r="I9" s="39">
        <v>986</v>
      </c>
      <c r="J9" s="39">
        <v>263</v>
      </c>
      <c r="K9" s="39">
        <v>284</v>
      </c>
      <c r="L9" s="39">
        <v>62.9</v>
      </c>
      <c r="M9" s="39">
        <v>61</v>
      </c>
      <c r="N9" s="3">
        <v>34</v>
      </c>
      <c r="O9" s="39">
        <f>MAX(F9:G9)/N9</f>
        <v>23.941176470588236</v>
      </c>
      <c r="P9" s="39">
        <f t="shared" si="1"/>
        <v>29.411764705882351</v>
      </c>
      <c r="Q9" s="39">
        <f t="shared" si="2"/>
        <v>8.3529411764705888</v>
      </c>
      <c r="R9" s="39">
        <f t="shared" si="3"/>
        <v>1.8499999999999999</v>
      </c>
      <c r="S9" s="39">
        <v>1</v>
      </c>
    </row>
    <row r="10" spans="1:19" s="39" customFormat="1" ht="15" x14ac:dyDescent="0.2">
      <c r="A10" s="20">
        <v>8</v>
      </c>
      <c r="B10" s="81" t="s">
        <v>120</v>
      </c>
      <c r="C10" s="39">
        <f>0.0487*0.3</f>
        <v>1.461E-2</v>
      </c>
      <c r="D10" s="39">
        <f t="shared" si="0"/>
        <v>14.61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">
        <v>11900</v>
      </c>
      <c r="O10" s="39">
        <f t="shared" ref="O10:O19" si="4">MAX(F10:G10)/N10</f>
        <v>0</v>
      </c>
      <c r="P10" s="39">
        <f t="shared" si="1"/>
        <v>0</v>
      </c>
      <c r="Q10" s="39">
        <f t="shared" si="2"/>
        <v>0</v>
      </c>
      <c r="R10" s="39">
        <f t="shared" si="3"/>
        <v>0</v>
      </c>
      <c r="S10" s="39">
        <v>1</v>
      </c>
    </row>
    <row r="11" spans="1:19" s="39" customFormat="1" ht="15" x14ac:dyDescent="0.2">
      <c r="A11" s="20">
        <v>9</v>
      </c>
      <c r="B11" s="81" t="s">
        <v>11</v>
      </c>
      <c r="C11" s="39">
        <f>0.2*0.3</f>
        <v>0.06</v>
      </c>
      <c r="D11" s="39">
        <f>C11*1000</f>
        <v>60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">
        <v>37</v>
      </c>
      <c r="O11" s="39">
        <f t="shared" si="4"/>
        <v>0</v>
      </c>
      <c r="P11" s="39">
        <f t="shared" si="1"/>
        <v>0</v>
      </c>
      <c r="Q11" s="39">
        <f t="shared" si="2"/>
        <v>0</v>
      </c>
      <c r="R11" s="39">
        <f t="shared" si="3"/>
        <v>0</v>
      </c>
      <c r="S11" s="39">
        <v>1</v>
      </c>
    </row>
    <row r="12" spans="1:19" s="39" customFormat="1" ht="15" x14ac:dyDescent="0.2">
      <c r="A12" s="20">
        <v>10</v>
      </c>
      <c r="B12" s="39" t="s">
        <v>121</v>
      </c>
      <c r="C12" s="39">
        <f>0.406*0.3</f>
        <v>0.12180000000000001</v>
      </c>
      <c r="D12" s="39">
        <f t="shared" si="0"/>
        <v>121.80000000000001</v>
      </c>
      <c r="F12" s="39">
        <v>2.9</v>
      </c>
      <c r="G12" s="39">
        <v>2.4</v>
      </c>
      <c r="H12" s="39">
        <v>3.5</v>
      </c>
      <c r="I12" s="39">
        <v>3.6</v>
      </c>
      <c r="J12" s="39">
        <v>1.1000000000000001</v>
      </c>
      <c r="K12" s="39">
        <v>1</v>
      </c>
      <c r="L12" s="39">
        <v>0</v>
      </c>
      <c r="M12" s="39">
        <v>0</v>
      </c>
      <c r="N12" s="3">
        <v>4.0999999999999996</v>
      </c>
      <c r="O12" s="39">
        <f t="shared" si="4"/>
        <v>0.70731707317073178</v>
      </c>
      <c r="P12" s="39">
        <f t="shared" si="1"/>
        <v>0.87804878048780499</v>
      </c>
      <c r="Q12" s="39">
        <f t="shared" si="2"/>
        <v>0.26829268292682934</v>
      </c>
      <c r="R12" s="39">
        <f t="shared" si="3"/>
        <v>0</v>
      </c>
      <c r="S12" s="39">
        <v>1</v>
      </c>
    </row>
    <row r="13" spans="1:19" s="39" customFormat="1" ht="15" x14ac:dyDescent="0.2">
      <c r="A13" s="20">
        <v>11</v>
      </c>
      <c r="B13" s="39" t="s">
        <v>122</v>
      </c>
      <c r="C13" s="39">
        <f>10.5*0.3</f>
        <v>3.15</v>
      </c>
      <c r="D13" s="39">
        <f t="shared" si="0"/>
        <v>3150</v>
      </c>
      <c r="E13" s="39">
        <v>3000</v>
      </c>
      <c r="F13" s="39">
        <v>1460</v>
      </c>
      <c r="G13" s="39">
        <v>1740</v>
      </c>
      <c r="H13" s="39">
        <v>1870</v>
      </c>
      <c r="I13" s="39">
        <v>1930</v>
      </c>
      <c r="J13" s="39">
        <v>612</v>
      </c>
      <c r="K13" s="39">
        <v>639</v>
      </c>
      <c r="L13" s="39">
        <v>127</v>
      </c>
      <c r="M13" s="39">
        <v>125</v>
      </c>
      <c r="N13" s="3">
        <v>14.4</v>
      </c>
      <c r="O13" s="39">
        <f t="shared" si="4"/>
        <v>120.83333333333333</v>
      </c>
      <c r="P13" s="39">
        <f t="shared" si="1"/>
        <v>134.02777777777777</v>
      </c>
      <c r="Q13" s="39">
        <f t="shared" si="2"/>
        <v>44.375</v>
      </c>
      <c r="R13" s="39">
        <f t="shared" si="3"/>
        <v>8.8194444444444446</v>
      </c>
      <c r="S13" s="39">
        <v>1</v>
      </c>
    </row>
    <row r="14" spans="1:19" s="39" customFormat="1" ht="15" x14ac:dyDescent="0.2">
      <c r="A14" s="20">
        <v>12</v>
      </c>
      <c r="B14" s="39" t="s">
        <v>123</v>
      </c>
      <c r="C14" s="39">
        <v>0</v>
      </c>
      <c r="D14" s="39">
        <f t="shared" si="0"/>
        <v>0</v>
      </c>
      <c r="F14" s="39">
        <v>1.44</v>
      </c>
      <c r="G14" s="39">
        <v>1.87</v>
      </c>
      <c r="H14" s="39">
        <v>1.66</v>
      </c>
      <c r="I14" s="39">
        <v>2.0099999999999998</v>
      </c>
      <c r="J14" s="39">
        <v>0</v>
      </c>
      <c r="K14" s="39">
        <v>0</v>
      </c>
      <c r="L14" s="39">
        <v>0</v>
      </c>
      <c r="M14" s="39">
        <v>0</v>
      </c>
      <c r="N14" s="3">
        <v>0.19</v>
      </c>
      <c r="O14" s="39">
        <f t="shared" si="4"/>
        <v>9.8421052631578956</v>
      </c>
      <c r="P14" s="39">
        <f t="shared" si="1"/>
        <v>10.578947368421051</v>
      </c>
      <c r="Q14" s="39">
        <f t="shared" si="2"/>
        <v>0</v>
      </c>
      <c r="R14" s="39">
        <f t="shared" si="3"/>
        <v>0</v>
      </c>
      <c r="S14" s="39">
        <v>1</v>
      </c>
    </row>
    <row r="15" spans="1:19" s="39" customFormat="1" ht="15" x14ac:dyDescent="0.2">
      <c r="A15" s="20">
        <v>13</v>
      </c>
      <c r="B15" s="39" t="s">
        <v>124</v>
      </c>
      <c r="C15" s="39">
        <f>0.368*0.3</f>
        <v>0.1104</v>
      </c>
      <c r="D15" s="39">
        <f t="shared" si="0"/>
        <v>110.39999999999999</v>
      </c>
      <c r="F15" s="39">
        <v>13.1</v>
      </c>
      <c r="G15" s="39">
        <v>11.4</v>
      </c>
      <c r="H15" s="39">
        <v>18.2</v>
      </c>
      <c r="I15" s="39">
        <v>17.7</v>
      </c>
      <c r="J15" s="39">
        <v>4.8099999999999996</v>
      </c>
      <c r="K15" s="39">
        <v>5.51</v>
      </c>
      <c r="L15" s="39">
        <v>1.01</v>
      </c>
      <c r="M15" s="39">
        <v>1.01</v>
      </c>
      <c r="N15" s="3">
        <v>6.5</v>
      </c>
      <c r="O15" s="39">
        <f>MAX(F15:G15)/N15</f>
        <v>2.0153846153846153</v>
      </c>
      <c r="P15" s="39">
        <f t="shared" si="1"/>
        <v>2.8</v>
      </c>
      <c r="Q15" s="39">
        <f t="shared" si="2"/>
        <v>0.84769230769230763</v>
      </c>
      <c r="R15" s="39">
        <f t="shared" si="3"/>
        <v>0.1553846153846154</v>
      </c>
      <c r="S15" s="39">
        <v>1</v>
      </c>
    </row>
    <row r="16" spans="1:19" s="39" customFormat="1" ht="15" x14ac:dyDescent="0.2">
      <c r="A16" s="20">
        <v>14</v>
      </c>
      <c r="B16" s="39" t="s">
        <v>125</v>
      </c>
      <c r="C16" s="39">
        <f>0.382*0.3</f>
        <v>0.11459999999999999</v>
      </c>
      <c r="D16" s="39">
        <f t="shared" si="0"/>
        <v>114.6</v>
      </c>
      <c r="E16" s="39">
        <v>1000</v>
      </c>
      <c r="F16" s="39">
        <v>89.3</v>
      </c>
      <c r="G16" s="39">
        <v>74.099999999999994</v>
      </c>
      <c r="H16" s="39">
        <v>88.2</v>
      </c>
      <c r="I16" s="39">
        <v>85.2</v>
      </c>
      <c r="J16" s="39">
        <v>47.5</v>
      </c>
      <c r="K16" s="39">
        <v>69.900000000000006</v>
      </c>
      <c r="L16" s="39">
        <v>14.9</v>
      </c>
      <c r="M16" s="39">
        <v>13.7</v>
      </c>
      <c r="N16" s="3">
        <v>20</v>
      </c>
      <c r="O16" s="39">
        <f t="shared" si="4"/>
        <v>4.4649999999999999</v>
      </c>
      <c r="P16" s="39">
        <f t="shared" si="1"/>
        <v>4.41</v>
      </c>
      <c r="Q16" s="39">
        <f t="shared" si="2"/>
        <v>3.4950000000000001</v>
      </c>
      <c r="R16" s="39">
        <f t="shared" si="3"/>
        <v>0.745</v>
      </c>
      <c r="S16" s="39">
        <v>1</v>
      </c>
    </row>
    <row r="17" spans="1:40" s="39" customFormat="1" ht="15" x14ac:dyDescent="0.2">
      <c r="A17" s="20">
        <v>15</v>
      </c>
      <c r="B17" s="39" t="s">
        <v>126</v>
      </c>
      <c r="C17" s="39">
        <f>1.55*0.3</f>
        <v>0.46499999999999997</v>
      </c>
      <c r="D17" s="39">
        <f t="shared" si="0"/>
        <v>464.99999999999994</v>
      </c>
      <c r="F17" s="39">
        <v>18</v>
      </c>
      <c r="G17" s="39">
        <v>4.4800000000000004</v>
      </c>
      <c r="H17" s="39">
        <v>33.299999999999997</v>
      </c>
      <c r="I17" s="39">
        <v>26.1</v>
      </c>
      <c r="J17" s="39">
        <v>0</v>
      </c>
      <c r="K17" s="39">
        <v>1.01</v>
      </c>
      <c r="L17" s="39">
        <v>0</v>
      </c>
      <c r="M17" s="39">
        <v>0</v>
      </c>
      <c r="N17" s="3">
        <v>2.4</v>
      </c>
      <c r="O17" s="39">
        <f t="shared" si="4"/>
        <v>7.5</v>
      </c>
      <c r="P17" s="39">
        <f t="shared" si="1"/>
        <v>13.875</v>
      </c>
      <c r="Q17" s="39">
        <f t="shared" si="2"/>
        <v>0.42083333333333334</v>
      </c>
      <c r="R17" s="39">
        <f t="shared" si="3"/>
        <v>0</v>
      </c>
      <c r="S17" s="39">
        <v>1</v>
      </c>
    </row>
    <row r="18" spans="1:40" s="39" customFormat="1" ht="15" x14ac:dyDescent="0.2">
      <c r="A18" s="20">
        <v>16</v>
      </c>
      <c r="B18" s="39" t="s">
        <v>127</v>
      </c>
      <c r="C18" s="39">
        <v>0</v>
      </c>
      <c r="D18" s="39">
        <f t="shared" si="0"/>
        <v>0</v>
      </c>
      <c r="F18" s="39">
        <v>4.47</v>
      </c>
      <c r="G18" s="39">
        <v>4.37</v>
      </c>
      <c r="H18" s="39">
        <v>6.32</v>
      </c>
      <c r="I18" s="39">
        <v>5.88</v>
      </c>
      <c r="J18" s="39">
        <v>2.13</v>
      </c>
      <c r="K18" s="39">
        <v>2.2999999999999998</v>
      </c>
      <c r="L18" s="39">
        <v>0</v>
      </c>
      <c r="M18" s="39">
        <v>0</v>
      </c>
      <c r="N18" s="3">
        <v>5.6</v>
      </c>
      <c r="O18" s="39">
        <f t="shared" si="4"/>
        <v>0.79821428571428577</v>
      </c>
      <c r="P18" s="39">
        <f t="shared" si="1"/>
        <v>1.1285714285714288</v>
      </c>
      <c r="Q18" s="39">
        <f t="shared" si="2"/>
        <v>0.4107142857142857</v>
      </c>
      <c r="R18" s="39">
        <f t="shared" si="3"/>
        <v>0</v>
      </c>
      <c r="S18" s="39">
        <v>1</v>
      </c>
    </row>
    <row r="19" spans="1:40" s="39" customFormat="1" ht="15" x14ac:dyDescent="0.2">
      <c r="A19" s="20">
        <v>17</v>
      </c>
      <c r="B19" s="81" t="s">
        <v>1</v>
      </c>
      <c r="C19" s="39">
        <v>0</v>
      </c>
      <c r="D19" s="39">
        <f t="shared" si="0"/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">
        <v>28</v>
      </c>
      <c r="O19" s="39">
        <f t="shared" si="4"/>
        <v>0</v>
      </c>
      <c r="P19" s="39">
        <f t="shared" si="1"/>
        <v>0</v>
      </c>
      <c r="Q19" s="39">
        <f t="shared" si="2"/>
        <v>0</v>
      </c>
      <c r="R19" s="39">
        <f t="shared" si="3"/>
        <v>0</v>
      </c>
      <c r="S19" s="39">
        <v>1</v>
      </c>
    </row>
    <row r="20" spans="1:40" s="45" customFormat="1" ht="15" x14ac:dyDescent="0.2">
      <c r="A20" s="20">
        <v>18</v>
      </c>
      <c r="B20" s="39" t="s">
        <v>0</v>
      </c>
      <c r="C20" s="39">
        <f>5200*0.3</f>
        <v>1560</v>
      </c>
      <c r="D20" s="39">
        <v>0</v>
      </c>
      <c r="E20" s="39"/>
      <c r="F20" s="66">
        <v>24636.3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">
        <v>170</v>
      </c>
      <c r="O20" s="39">
        <f>F20/$N$20</f>
        <v>144.91941176470587</v>
      </c>
      <c r="P20" s="39">
        <f t="shared" ref="P20:R20" si="5">G20/$N$20</f>
        <v>0</v>
      </c>
      <c r="Q20" s="39">
        <f t="shared" si="5"/>
        <v>0</v>
      </c>
      <c r="R20" s="39">
        <f t="shared" si="5"/>
        <v>0</v>
      </c>
      <c r="S20" s="39">
        <v>1</v>
      </c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</row>
    <row r="21" spans="1:40" ht="16" x14ac:dyDescent="0.2">
      <c r="E21" s="95" t="s">
        <v>99</v>
      </c>
      <c r="F21" s="97" t="s">
        <v>128</v>
      </c>
      <c r="G21" s="98"/>
      <c r="H21" s="98"/>
      <c r="I21" s="98"/>
      <c r="J21" s="98"/>
      <c r="K21" s="98"/>
      <c r="L21" s="98"/>
      <c r="M21" s="99"/>
      <c r="N21" s="26" t="s">
        <v>104</v>
      </c>
      <c r="O21" s="47" t="s">
        <v>105</v>
      </c>
      <c r="P21" s="48" t="s">
        <v>106</v>
      </c>
      <c r="Q21" s="48" t="s">
        <v>107</v>
      </c>
      <c r="R21" s="49" t="s">
        <v>108</v>
      </c>
    </row>
    <row r="22" spans="1:40" ht="16" x14ac:dyDescent="0.2">
      <c r="E22" s="96"/>
      <c r="F22" s="50">
        <v>10</v>
      </c>
      <c r="G22" s="51">
        <v>10</v>
      </c>
      <c r="H22" s="51">
        <v>10</v>
      </c>
      <c r="I22" s="51">
        <v>10</v>
      </c>
      <c r="J22" s="51">
        <v>10</v>
      </c>
      <c r="K22" s="51">
        <v>10</v>
      </c>
      <c r="L22" s="51">
        <v>10</v>
      </c>
      <c r="M22" s="52">
        <v>10</v>
      </c>
      <c r="N22" s="32" t="s">
        <v>113</v>
      </c>
      <c r="O22" s="47" t="s">
        <v>27</v>
      </c>
      <c r="P22" s="48" t="s">
        <v>27</v>
      </c>
      <c r="Q22" s="48" t="s">
        <v>27</v>
      </c>
      <c r="R22" s="49" t="s">
        <v>27</v>
      </c>
    </row>
    <row r="23" spans="1:40" ht="15" x14ac:dyDescent="0.2">
      <c r="D23" s="20">
        <v>1</v>
      </c>
      <c r="E23" s="39" t="s">
        <v>114</v>
      </c>
      <c r="F23" s="39">
        <f>F3/$F$22</f>
        <v>1.09E-3</v>
      </c>
      <c r="G23" s="39">
        <f>G3/$G$22</f>
        <v>5.4999999999999992E-4</v>
      </c>
      <c r="H23" s="39">
        <f>H3/$H$22</f>
        <v>1.06E-3</v>
      </c>
      <c r="I23" s="39">
        <f>I3/$I$22</f>
        <v>1.09E-3</v>
      </c>
      <c r="J23" s="39">
        <f>J3/$J$22</f>
        <v>6.1000000000000008E-4</v>
      </c>
      <c r="K23" s="39">
        <f>K3/$K$22</f>
        <v>0</v>
      </c>
      <c r="L23" s="39">
        <f>L3/$L$22</f>
        <v>0</v>
      </c>
      <c r="M23" s="39">
        <f>M3/$M$22</f>
        <v>0</v>
      </c>
      <c r="N23" s="7">
        <v>5.7000000000000002E-2</v>
      </c>
      <c r="O23" s="39">
        <f>MAX(F23:G23)/N23</f>
        <v>1.9122807017543861E-2</v>
      </c>
      <c r="P23" s="39">
        <f>MAX(G23:H23)/N23</f>
        <v>1.8596491228070174E-2</v>
      </c>
      <c r="Q23" s="39">
        <f>MAX(J23:K23)/N23</f>
        <v>1.0701754385964914E-2</v>
      </c>
      <c r="R23" s="39">
        <f>MAX(L23:M23)/N23</f>
        <v>0</v>
      </c>
    </row>
    <row r="24" spans="1:40" ht="15" x14ac:dyDescent="0.2">
      <c r="D24" s="20">
        <v>2</v>
      </c>
      <c r="E24" s="39" t="s">
        <v>115</v>
      </c>
      <c r="F24" s="39">
        <f>F4/$F$22</f>
        <v>10.4</v>
      </c>
      <c r="G24" s="39">
        <f>G4/$G$22</f>
        <v>8.66</v>
      </c>
      <c r="H24" s="39">
        <f>H4/$H$22</f>
        <v>11.6</v>
      </c>
      <c r="I24" s="39">
        <f>I4/$I$22</f>
        <v>11.6</v>
      </c>
      <c r="J24" s="39">
        <f>J4/$J$22</f>
        <v>0.74399999999999999</v>
      </c>
      <c r="K24" s="39">
        <f>K4/$K$22</f>
        <v>1.25</v>
      </c>
      <c r="L24" s="39">
        <f>L4/$L$22</f>
        <v>0.21000000000000002</v>
      </c>
      <c r="M24" s="39">
        <f>M4/$M$22</f>
        <v>0.19600000000000001</v>
      </c>
      <c r="N24" s="7">
        <v>114.7</v>
      </c>
      <c r="O24" s="39">
        <f t="shared" ref="O24:O38" si="6">MAX(F24:G24)/N24</f>
        <v>9.0671316477768091E-2</v>
      </c>
      <c r="P24" s="39">
        <f t="shared" ref="P24:P38" si="7">MAX(G24:H24)/N24</f>
        <v>0.1011333914559721</v>
      </c>
      <c r="Q24" s="39">
        <f t="shared" ref="Q24:Q38" si="8">MAX(J24:K24)/N24</f>
        <v>1.0897994768962511E-2</v>
      </c>
      <c r="R24" s="39">
        <f t="shared" ref="R24:R38" si="9">MAX(L24:M24)/N24</f>
        <v>1.8308631211857019E-3</v>
      </c>
    </row>
    <row r="25" spans="1:40" ht="15" x14ac:dyDescent="0.2">
      <c r="D25" s="20">
        <v>3</v>
      </c>
      <c r="E25" s="39" t="s">
        <v>116</v>
      </c>
      <c r="F25" s="39">
        <f t="shared" ref="F25:F40" si="10">F5/$F$22</f>
        <v>14.2</v>
      </c>
      <c r="G25" s="39">
        <f t="shared" ref="G25:G40" si="11">G5/$G$22</f>
        <v>13.4</v>
      </c>
      <c r="H25" s="39">
        <f t="shared" ref="H25:H40" si="12">H5/$H$22</f>
        <v>25.2</v>
      </c>
      <c r="I25" s="39">
        <f t="shared" ref="I25:I40" si="13">I5/$I$22</f>
        <v>22.2</v>
      </c>
      <c r="J25" s="39">
        <f t="shared" ref="J25:J40" si="14">J5/$J$22</f>
        <v>13.9</v>
      </c>
      <c r="K25" s="39">
        <f t="shared" ref="K25:K40" si="15">K5/$K$22</f>
        <v>13.9</v>
      </c>
      <c r="L25" s="39">
        <f t="shared" ref="L25:L40" si="16">L5/$L$22</f>
        <v>6</v>
      </c>
      <c r="M25" s="39">
        <f t="shared" ref="M25:M40" si="17">M5/$M$22</f>
        <v>5.4</v>
      </c>
      <c r="N25" s="6">
        <v>2900</v>
      </c>
      <c r="O25" s="39">
        <f t="shared" si="6"/>
        <v>4.8965517241379309E-3</v>
      </c>
      <c r="P25" s="39">
        <f t="shared" si="7"/>
        <v>8.6896551724137926E-3</v>
      </c>
      <c r="Q25" s="39">
        <f t="shared" si="8"/>
        <v>4.7931034482758626E-3</v>
      </c>
      <c r="R25" s="39">
        <f t="shared" si="9"/>
        <v>2.0689655172413794E-3</v>
      </c>
    </row>
    <row r="26" spans="1:40" ht="15" x14ac:dyDescent="0.2">
      <c r="A26" s="20">
        <v>8860</v>
      </c>
      <c r="B26" s="46" t="s">
        <v>47</v>
      </c>
      <c r="C26" s="63" t="s">
        <v>151</v>
      </c>
      <c r="D26" s="20">
        <v>4</v>
      </c>
      <c r="E26" s="39" t="s">
        <v>117</v>
      </c>
      <c r="F26" s="39">
        <f t="shared" si="10"/>
        <v>2.2199999999999998</v>
      </c>
      <c r="G26" s="39">
        <f t="shared" si="11"/>
        <v>2.0100000000000002</v>
      </c>
      <c r="H26" s="39">
        <f t="shared" si="12"/>
        <v>1.95</v>
      </c>
      <c r="I26" s="39">
        <f t="shared" si="13"/>
        <v>1.78</v>
      </c>
      <c r="J26" s="39">
        <f t="shared" si="14"/>
        <v>0.26400000000000001</v>
      </c>
      <c r="K26" s="39">
        <f t="shared" si="15"/>
        <v>0.36899999999999999</v>
      </c>
      <c r="L26" s="39">
        <f t="shared" si="16"/>
        <v>0</v>
      </c>
      <c r="M26" s="39">
        <f t="shared" si="17"/>
        <v>0</v>
      </c>
      <c r="N26" s="3">
        <v>1.06</v>
      </c>
      <c r="O26" s="39">
        <f>MAX(F26:G26)/N26</f>
        <v>2.0943396226415092</v>
      </c>
      <c r="P26" s="39">
        <f t="shared" si="7"/>
        <v>1.8962264150943398</v>
      </c>
      <c r="Q26" s="39">
        <f t="shared" si="8"/>
        <v>0.34811320754716979</v>
      </c>
      <c r="R26" s="39">
        <f t="shared" si="9"/>
        <v>0</v>
      </c>
    </row>
    <row r="27" spans="1:40" ht="15" x14ac:dyDescent="0.2">
      <c r="D27" s="20">
        <v>5</v>
      </c>
      <c r="E27" s="39" t="s">
        <v>118</v>
      </c>
      <c r="F27" s="39">
        <f t="shared" si="10"/>
        <v>31.9</v>
      </c>
      <c r="G27" s="39">
        <f t="shared" si="11"/>
        <v>23.6</v>
      </c>
      <c r="H27" s="39">
        <f t="shared" si="12"/>
        <v>14.5</v>
      </c>
      <c r="I27" s="39">
        <f t="shared" si="13"/>
        <v>14.2</v>
      </c>
      <c r="J27" s="39">
        <f t="shared" si="14"/>
        <v>2.2000000000000002</v>
      </c>
      <c r="K27" s="39">
        <f t="shared" si="15"/>
        <v>1.65</v>
      </c>
      <c r="L27" s="39">
        <f t="shared" si="16"/>
        <v>0</v>
      </c>
      <c r="M27" s="39">
        <f t="shared" si="17"/>
        <v>0</v>
      </c>
      <c r="N27" s="3">
        <v>6.3</v>
      </c>
      <c r="O27" s="39">
        <f>MAX(F27:G27)/N27</f>
        <v>5.0634920634920633</v>
      </c>
      <c r="P27" s="39">
        <f t="shared" si="7"/>
        <v>3.7460317460317465</v>
      </c>
      <c r="Q27" s="39">
        <f t="shared" si="8"/>
        <v>0.34920634920634924</v>
      </c>
      <c r="R27" s="39">
        <f t="shared" si="9"/>
        <v>0</v>
      </c>
    </row>
    <row r="28" spans="1:40" ht="15" x14ac:dyDescent="0.2">
      <c r="D28" s="20">
        <v>6</v>
      </c>
      <c r="E28" s="39" t="s">
        <v>16</v>
      </c>
      <c r="F28" s="39">
        <f t="shared" si="10"/>
        <v>1.7399999999999998</v>
      </c>
      <c r="G28" s="39">
        <f t="shared" si="11"/>
        <v>1.7</v>
      </c>
      <c r="H28" s="39">
        <f t="shared" si="12"/>
        <v>2.3899999999999997</v>
      </c>
      <c r="I28" s="39">
        <f t="shared" si="13"/>
        <v>2.81</v>
      </c>
      <c r="J28" s="39">
        <f t="shared" si="14"/>
        <v>1.19</v>
      </c>
      <c r="K28" s="39">
        <f t="shared" si="15"/>
        <v>1.1499999999999999</v>
      </c>
      <c r="L28" s="39">
        <f t="shared" si="16"/>
        <v>0</v>
      </c>
      <c r="M28" s="39">
        <f t="shared" si="17"/>
        <v>0</v>
      </c>
      <c r="N28" s="3">
        <v>1650</v>
      </c>
      <c r="O28" s="39">
        <f>MAX(F28:G28)/N28</f>
        <v>1.0545454545454545E-3</v>
      </c>
      <c r="P28" s="39">
        <f t="shared" si="7"/>
        <v>1.4484848484848482E-3</v>
      </c>
      <c r="Q28" s="39">
        <f t="shared" si="8"/>
        <v>7.2121212121212122E-4</v>
      </c>
      <c r="R28" s="39">
        <f t="shared" si="9"/>
        <v>0</v>
      </c>
    </row>
    <row r="29" spans="1:40" ht="15" x14ac:dyDescent="0.2">
      <c r="D29" s="20">
        <v>7</v>
      </c>
      <c r="E29" s="39" t="s">
        <v>119</v>
      </c>
      <c r="F29" s="39">
        <f t="shared" si="10"/>
        <v>75.400000000000006</v>
      </c>
      <c r="G29" s="39">
        <f t="shared" si="11"/>
        <v>81.400000000000006</v>
      </c>
      <c r="H29" s="39">
        <f t="shared" si="12"/>
        <v>100</v>
      </c>
      <c r="I29" s="39">
        <f t="shared" si="13"/>
        <v>98.6</v>
      </c>
      <c r="J29" s="39">
        <f t="shared" si="14"/>
        <v>26.3</v>
      </c>
      <c r="K29" s="39">
        <f t="shared" si="15"/>
        <v>28.4</v>
      </c>
      <c r="L29" s="39">
        <f t="shared" si="16"/>
        <v>6.29</v>
      </c>
      <c r="M29" s="39">
        <f t="shared" si="17"/>
        <v>6.1</v>
      </c>
      <c r="N29" s="3">
        <v>34</v>
      </c>
      <c r="O29" s="39">
        <f t="shared" si="6"/>
        <v>2.3941176470588239</v>
      </c>
      <c r="P29" s="39">
        <f t="shared" si="7"/>
        <v>2.9411764705882355</v>
      </c>
      <c r="Q29" s="39">
        <f t="shared" si="8"/>
        <v>0.83529411764705874</v>
      </c>
      <c r="R29" s="39">
        <f t="shared" si="9"/>
        <v>0.185</v>
      </c>
    </row>
    <row r="30" spans="1:40" ht="15" x14ac:dyDescent="0.2">
      <c r="D30" s="20">
        <v>8</v>
      </c>
      <c r="E30" s="39" t="s">
        <v>120</v>
      </c>
      <c r="F30" s="39">
        <f t="shared" si="10"/>
        <v>0</v>
      </c>
      <c r="G30" s="39">
        <f t="shared" si="11"/>
        <v>0</v>
      </c>
      <c r="H30" s="39">
        <f t="shared" si="12"/>
        <v>0</v>
      </c>
      <c r="I30" s="39">
        <f t="shared" si="13"/>
        <v>0</v>
      </c>
      <c r="J30" s="39">
        <f t="shared" si="14"/>
        <v>0</v>
      </c>
      <c r="K30" s="39">
        <f t="shared" si="15"/>
        <v>0</v>
      </c>
      <c r="L30" s="39">
        <f t="shared" si="16"/>
        <v>0</v>
      </c>
      <c r="M30" s="39">
        <f t="shared" si="17"/>
        <v>0</v>
      </c>
      <c r="N30" s="3">
        <v>11900</v>
      </c>
      <c r="O30" s="39">
        <f t="shared" si="6"/>
        <v>0</v>
      </c>
      <c r="P30" s="39">
        <f t="shared" si="7"/>
        <v>0</v>
      </c>
      <c r="Q30" s="39">
        <f t="shared" si="8"/>
        <v>0</v>
      </c>
      <c r="R30" s="39">
        <f t="shared" si="9"/>
        <v>0</v>
      </c>
    </row>
    <row r="31" spans="1:40" ht="15" x14ac:dyDescent="0.2">
      <c r="D31" s="20">
        <v>9</v>
      </c>
      <c r="E31" s="39" t="s">
        <v>11</v>
      </c>
      <c r="F31" s="39">
        <f t="shared" si="10"/>
        <v>0</v>
      </c>
      <c r="G31" s="39">
        <f t="shared" si="11"/>
        <v>0</v>
      </c>
      <c r="H31" s="39">
        <f t="shared" si="12"/>
        <v>0</v>
      </c>
      <c r="I31" s="39">
        <f t="shared" si="13"/>
        <v>0</v>
      </c>
      <c r="J31" s="39">
        <f t="shared" si="14"/>
        <v>0</v>
      </c>
      <c r="K31" s="39">
        <f t="shared" si="15"/>
        <v>0</v>
      </c>
      <c r="L31" s="39">
        <f t="shared" si="16"/>
        <v>0</v>
      </c>
      <c r="M31" s="39">
        <f t="shared" si="17"/>
        <v>0</v>
      </c>
      <c r="N31" s="3">
        <v>37</v>
      </c>
      <c r="O31" s="39">
        <f t="shared" si="6"/>
        <v>0</v>
      </c>
      <c r="P31" s="39">
        <f t="shared" si="7"/>
        <v>0</v>
      </c>
      <c r="Q31" s="39">
        <f t="shared" si="8"/>
        <v>0</v>
      </c>
      <c r="R31" s="39">
        <f t="shared" si="9"/>
        <v>0</v>
      </c>
    </row>
    <row r="32" spans="1:40" ht="15" x14ac:dyDescent="0.2">
      <c r="A32" s="63" t="s">
        <v>162</v>
      </c>
      <c r="B32" s="46" t="s">
        <v>151</v>
      </c>
      <c r="C32" s="63" t="s">
        <v>136</v>
      </c>
      <c r="D32" s="20">
        <v>10</v>
      </c>
      <c r="E32" s="39" t="s">
        <v>121</v>
      </c>
      <c r="F32" s="39">
        <f t="shared" si="10"/>
        <v>0.28999999999999998</v>
      </c>
      <c r="G32" s="39">
        <f t="shared" si="11"/>
        <v>0.24</v>
      </c>
      <c r="H32" s="39">
        <f t="shared" si="12"/>
        <v>0.35</v>
      </c>
      <c r="I32" s="39">
        <f t="shared" si="13"/>
        <v>0.36</v>
      </c>
      <c r="J32" s="39">
        <f t="shared" si="14"/>
        <v>0.11000000000000001</v>
      </c>
      <c r="K32" s="39">
        <f t="shared" si="15"/>
        <v>0.1</v>
      </c>
      <c r="L32" s="39">
        <f t="shared" si="16"/>
        <v>0</v>
      </c>
      <c r="M32" s="39">
        <f t="shared" si="17"/>
        <v>0</v>
      </c>
      <c r="N32" s="3">
        <v>4.0999999999999996</v>
      </c>
      <c r="O32" s="39">
        <f t="shared" si="6"/>
        <v>7.0731707317073178E-2</v>
      </c>
      <c r="P32" s="39">
        <f t="shared" si="7"/>
        <v>8.5365853658536592E-2</v>
      </c>
      <c r="Q32" s="39">
        <f t="shared" si="8"/>
        <v>2.6829268292682933E-2</v>
      </c>
      <c r="R32" s="39">
        <f t="shared" si="9"/>
        <v>0</v>
      </c>
    </row>
    <row r="33" spans="1:18" ht="15" x14ac:dyDescent="0.2">
      <c r="C33" s="20">
        <v>0</v>
      </c>
      <c r="D33" s="20">
        <v>11</v>
      </c>
      <c r="E33" s="39" t="s">
        <v>9</v>
      </c>
      <c r="F33" s="39">
        <f t="shared" si="10"/>
        <v>146</v>
      </c>
      <c r="G33" s="39">
        <f t="shared" si="11"/>
        <v>174</v>
      </c>
      <c r="H33" s="39">
        <f t="shared" si="12"/>
        <v>187</v>
      </c>
      <c r="I33" s="39">
        <f t="shared" si="13"/>
        <v>193</v>
      </c>
      <c r="J33" s="39">
        <f t="shared" si="14"/>
        <v>61.2</v>
      </c>
      <c r="K33" s="39">
        <f t="shared" si="15"/>
        <v>63.9</v>
      </c>
      <c r="L33" s="39">
        <f t="shared" si="16"/>
        <v>12.7</v>
      </c>
      <c r="M33" s="39">
        <f t="shared" si="17"/>
        <v>12.5</v>
      </c>
      <c r="N33" s="3">
        <v>14.4</v>
      </c>
      <c r="O33" s="39">
        <f t="shared" si="6"/>
        <v>12.083333333333332</v>
      </c>
      <c r="P33" s="39">
        <f t="shared" si="7"/>
        <v>12.986111111111111</v>
      </c>
      <c r="Q33" s="39">
        <f t="shared" si="8"/>
        <v>4.4375</v>
      </c>
      <c r="R33" s="39">
        <f t="shared" si="9"/>
        <v>0.88194444444444442</v>
      </c>
    </row>
    <row r="34" spans="1:18" ht="15" x14ac:dyDescent="0.2">
      <c r="D34" s="20">
        <v>12</v>
      </c>
      <c r="E34" s="39" t="s">
        <v>123</v>
      </c>
      <c r="F34" s="39">
        <f t="shared" si="10"/>
        <v>0.14399999999999999</v>
      </c>
      <c r="G34" s="39">
        <f t="shared" si="11"/>
        <v>0.187</v>
      </c>
      <c r="H34" s="39">
        <f t="shared" si="12"/>
        <v>0.16599999999999998</v>
      </c>
      <c r="I34" s="39">
        <f t="shared" si="13"/>
        <v>0.20099999999999998</v>
      </c>
      <c r="J34" s="39">
        <f t="shared" si="14"/>
        <v>0</v>
      </c>
      <c r="K34" s="39">
        <f t="shared" si="15"/>
        <v>0</v>
      </c>
      <c r="L34" s="39">
        <f t="shared" si="16"/>
        <v>0</v>
      </c>
      <c r="M34" s="39">
        <f t="shared" si="17"/>
        <v>0</v>
      </c>
      <c r="N34" s="3">
        <v>0.19</v>
      </c>
      <c r="O34" s="39">
        <f t="shared" si="6"/>
        <v>0.98421052631578942</v>
      </c>
      <c r="P34" s="39">
        <f t="shared" si="7"/>
        <v>0.98421052631578942</v>
      </c>
      <c r="Q34" s="39">
        <f t="shared" si="8"/>
        <v>0</v>
      </c>
      <c r="R34" s="39">
        <f t="shared" si="9"/>
        <v>0</v>
      </c>
    </row>
    <row r="35" spans="1:18" ht="15" x14ac:dyDescent="0.2">
      <c r="D35" s="20">
        <v>13</v>
      </c>
      <c r="E35" s="39" t="s">
        <v>124</v>
      </c>
      <c r="F35" s="39">
        <f t="shared" si="10"/>
        <v>1.31</v>
      </c>
      <c r="G35" s="39">
        <f t="shared" si="11"/>
        <v>1.1400000000000001</v>
      </c>
      <c r="H35" s="39">
        <f t="shared" si="12"/>
        <v>1.8199999999999998</v>
      </c>
      <c r="I35" s="39">
        <f t="shared" si="13"/>
        <v>1.77</v>
      </c>
      <c r="J35" s="39">
        <f t="shared" si="14"/>
        <v>0.48099999999999998</v>
      </c>
      <c r="K35" s="39">
        <f t="shared" si="15"/>
        <v>0.55099999999999993</v>
      </c>
      <c r="L35" s="39">
        <f t="shared" si="16"/>
        <v>0.10100000000000001</v>
      </c>
      <c r="M35" s="39">
        <f t="shared" si="17"/>
        <v>0.10100000000000001</v>
      </c>
      <c r="N35" s="3">
        <v>6.5</v>
      </c>
      <c r="O35" s="39">
        <f t="shared" si="6"/>
        <v>0.20153846153846156</v>
      </c>
      <c r="P35" s="39">
        <f t="shared" si="7"/>
        <v>0.27999999999999997</v>
      </c>
      <c r="Q35" s="39">
        <f t="shared" si="8"/>
        <v>8.4769230769230763E-2</v>
      </c>
      <c r="R35" s="39">
        <f t="shared" si="9"/>
        <v>1.5538461538461539E-2</v>
      </c>
    </row>
    <row r="36" spans="1:18" ht="15" x14ac:dyDescent="0.2">
      <c r="A36" s="20" t="s">
        <v>163</v>
      </c>
      <c r="B36" s="46">
        <v>5200</v>
      </c>
      <c r="C36" s="20" t="s">
        <v>129</v>
      </c>
      <c r="D36" s="20">
        <v>14</v>
      </c>
      <c r="E36" s="39" t="s">
        <v>125</v>
      </c>
      <c r="F36" s="39">
        <f t="shared" si="10"/>
        <v>8.93</v>
      </c>
      <c r="G36" s="39">
        <f t="shared" si="11"/>
        <v>7.4099999999999993</v>
      </c>
      <c r="H36" s="39">
        <f t="shared" si="12"/>
        <v>8.82</v>
      </c>
      <c r="I36" s="39">
        <f t="shared" si="13"/>
        <v>8.52</v>
      </c>
      <c r="J36" s="39">
        <f t="shared" si="14"/>
        <v>4.75</v>
      </c>
      <c r="K36" s="39">
        <f t="shared" si="15"/>
        <v>6.99</v>
      </c>
      <c r="L36" s="39">
        <f t="shared" si="16"/>
        <v>1.49</v>
      </c>
      <c r="M36" s="39">
        <f t="shared" si="17"/>
        <v>1.3699999999999999</v>
      </c>
      <c r="N36" s="3">
        <v>20</v>
      </c>
      <c r="O36" s="39">
        <f>MAX(F36:G36)/N36</f>
        <v>0.44650000000000001</v>
      </c>
      <c r="P36" s="39">
        <f t="shared" si="7"/>
        <v>0.441</v>
      </c>
      <c r="Q36" s="39">
        <f t="shared" si="8"/>
        <v>0.34950000000000003</v>
      </c>
      <c r="R36" s="39">
        <f t="shared" si="9"/>
        <v>7.4499999999999997E-2</v>
      </c>
    </row>
    <row r="37" spans="1:18" ht="15" x14ac:dyDescent="0.2">
      <c r="A37" s="20" t="s">
        <v>164</v>
      </c>
      <c r="B37" s="46">
        <v>24.68</v>
      </c>
      <c r="C37" s="20" t="s">
        <v>129</v>
      </c>
      <c r="D37" s="20">
        <v>15</v>
      </c>
      <c r="E37" s="39" t="s">
        <v>126</v>
      </c>
      <c r="F37" s="39">
        <f t="shared" si="10"/>
        <v>1.8</v>
      </c>
      <c r="G37" s="39">
        <f t="shared" si="11"/>
        <v>0.44800000000000006</v>
      </c>
      <c r="H37" s="39">
        <f t="shared" si="12"/>
        <v>3.3299999999999996</v>
      </c>
      <c r="I37" s="39">
        <f t="shared" si="13"/>
        <v>2.6100000000000003</v>
      </c>
      <c r="J37" s="39">
        <f t="shared" si="14"/>
        <v>0</v>
      </c>
      <c r="K37" s="39">
        <f t="shared" si="15"/>
        <v>0.10100000000000001</v>
      </c>
      <c r="L37" s="39">
        <f t="shared" si="16"/>
        <v>0</v>
      </c>
      <c r="M37" s="39">
        <f t="shared" si="17"/>
        <v>0</v>
      </c>
      <c r="N37" s="3">
        <v>2.4</v>
      </c>
      <c r="O37" s="39">
        <f t="shared" si="6"/>
        <v>0.75</v>
      </c>
      <c r="P37" s="39">
        <f t="shared" si="7"/>
        <v>1.3875</v>
      </c>
      <c r="Q37" s="39">
        <f t="shared" si="8"/>
        <v>4.2083333333333341E-2</v>
      </c>
      <c r="R37" s="39">
        <f t="shared" si="9"/>
        <v>0</v>
      </c>
    </row>
    <row r="38" spans="1:18" ht="16" thickBot="1" x14ac:dyDescent="0.25">
      <c r="A38" s="20" t="s">
        <v>165</v>
      </c>
      <c r="B38" s="57">
        <f>B37/B36</f>
        <v>4.7461538461538461E-3</v>
      </c>
      <c r="C38" s="20" t="s">
        <v>153</v>
      </c>
      <c r="D38" s="20">
        <v>16</v>
      </c>
      <c r="E38" s="39" t="s">
        <v>127</v>
      </c>
      <c r="F38" s="39">
        <f t="shared" si="10"/>
        <v>0.44699999999999995</v>
      </c>
      <c r="G38" s="39">
        <f t="shared" si="11"/>
        <v>0.437</v>
      </c>
      <c r="H38" s="39">
        <f t="shared" si="12"/>
        <v>0.63200000000000001</v>
      </c>
      <c r="I38" s="39">
        <f t="shared" si="13"/>
        <v>0.58799999999999997</v>
      </c>
      <c r="J38" s="39">
        <f t="shared" si="14"/>
        <v>0.21299999999999999</v>
      </c>
      <c r="K38" s="39">
        <f t="shared" si="15"/>
        <v>0.22999999999999998</v>
      </c>
      <c r="L38" s="39">
        <f t="shared" si="16"/>
        <v>0</v>
      </c>
      <c r="M38" s="39">
        <f t="shared" si="17"/>
        <v>0</v>
      </c>
      <c r="N38" s="3">
        <v>5.6</v>
      </c>
      <c r="O38" s="39">
        <f t="shared" si="6"/>
        <v>7.9821428571428571E-2</v>
      </c>
      <c r="P38" s="39">
        <f t="shared" si="7"/>
        <v>0.11285714285714286</v>
      </c>
      <c r="Q38" s="39">
        <f t="shared" si="8"/>
        <v>4.1071428571428571E-2</v>
      </c>
      <c r="R38" s="39">
        <f t="shared" si="9"/>
        <v>0</v>
      </c>
    </row>
    <row r="39" spans="1:18" ht="15" x14ac:dyDescent="0.2">
      <c r="A39" s="67" t="s">
        <v>166</v>
      </c>
      <c r="B39" s="68">
        <v>998.23</v>
      </c>
      <c r="C39" s="69" t="s">
        <v>47</v>
      </c>
      <c r="D39" s="20">
        <v>17</v>
      </c>
      <c r="E39" s="39" t="s">
        <v>1</v>
      </c>
      <c r="F39" s="39">
        <f t="shared" si="10"/>
        <v>0</v>
      </c>
      <c r="G39" s="39">
        <f t="shared" si="11"/>
        <v>0</v>
      </c>
      <c r="H39" s="39">
        <f t="shared" si="12"/>
        <v>0</v>
      </c>
      <c r="I39" s="39">
        <f t="shared" si="13"/>
        <v>0</v>
      </c>
      <c r="J39" s="39">
        <f t="shared" si="14"/>
        <v>0</v>
      </c>
      <c r="K39" s="39">
        <f t="shared" si="15"/>
        <v>0</v>
      </c>
      <c r="L39" s="39">
        <f t="shared" si="16"/>
        <v>0</v>
      </c>
      <c r="M39" s="39">
        <f t="shared" si="17"/>
        <v>0</v>
      </c>
      <c r="N39" s="3">
        <v>28</v>
      </c>
      <c r="O39" s="39">
        <f>MAX(F39:G39)/N39</f>
        <v>0</v>
      </c>
      <c r="P39" s="39">
        <f>MAX(G39:H39)/N39</f>
        <v>0</v>
      </c>
      <c r="Q39" s="39">
        <f>MAX(J39:K39)/N39</f>
        <v>0</v>
      </c>
      <c r="R39" s="39">
        <f>MAX(L39:M39)/N39</f>
        <v>0</v>
      </c>
    </row>
    <row r="40" spans="1:18" ht="15" x14ac:dyDescent="0.2">
      <c r="A40" s="70" t="s">
        <v>164</v>
      </c>
      <c r="B40" s="71">
        <v>24.68</v>
      </c>
      <c r="C40" s="72" t="s">
        <v>129</v>
      </c>
      <c r="D40" s="20">
        <v>18</v>
      </c>
      <c r="E40" s="39" t="s">
        <v>0</v>
      </c>
      <c r="F40" s="39">
        <f t="shared" si="10"/>
        <v>2463.63</v>
      </c>
      <c r="G40" s="39">
        <f t="shared" si="11"/>
        <v>0</v>
      </c>
      <c r="H40" s="39">
        <f t="shared" si="12"/>
        <v>0</v>
      </c>
      <c r="I40" s="39">
        <f t="shared" si="13"/>
        <v>0</v>
      </c>
      <c r="J40" s="39">
        <f t="shared" si="14"/>
        <v>0</v>
      </c>
      <c r="K40" s="39">
        <f t="shared" si="15"/>
        <v>0</v>
      </c>
      <c r="L40" s="39">
        <f t="shared" si="16"/>
        <v>0</v>
      </c>
      <c r="M40" s="39">
        <f t="shared" si="17"/>
        <v>0</v>
      </c>
      <c r="N40" s="3">
        <v>170</v>
      </c>
      <c r="O40" s="39">
        <f>F40/$N$40</f>
        <v>14.491941176470588</v>
      </c>
      <c r="P40" s="39">
        <f t="shared" ref="P40:R40" si="18">G40/$N$40</f>
        <v>0</v>
      </c>
      <c r="Q40" s="39">
        <f t="shared" si="18"/>
        <v>0</v>
      </c>
      <c r="R40" s="39">
        <f t="shared" si="18"/>
        <v>0</v>
      </c>
    </row>
    <row r="41" spans="1:18" ht="16" x14ac:dyDescent="0.2">
      <c r="A41" s="70" t="s">
        <v>167</v>
      </c>
      <c r="B41" s="71">
        <f>B39*B40</f>
        <v>24636.3164</v>
      </c>
      <c r="C41" s="72" t="s">
        <v>38</v>
      </c>
      <c r="E41" s="95" t="s">
        <v>99</v>
      </c>
      <c r="F41" s="97" t="s">
        <v>128</v>
      </c>
      <c r="G41" s="98"/>
      <c r="H41" s="98"/>
      <c r="I41" s="98"/>
      <c r="J41" s="98"/>
      <c r="K41" s="98"/>
      <c r="L41" s="98"/>
      <c r="M41" s="99"/>
      <c r="N41" s="59" t="s">
        <v>104</v>
      </c>
      <c r="O41" s="47" t="s">
        <v>105</v>
      </c>
      <c r="P41" s="48" t="s">
        <v>106</v>
      </c>
      <c r="Q41" s="48" t="s">
        <v>107</v>
      </c>
      <c r="R41" s="49" t="s">
        <v>108</v>
      </c>
    </row>
    <row r="42" spans="1:18" ht="15" x14ac:dyDescent="0.2">
      <c r="A42" s="70" t="s">
        <v>167</v>
      </c>
      <c r="B42" s="73">
        <v>24.636299999999999</v>
      </c>
      <c r="C42" s="72" t="s">
        <v>136</v>
      </c>
      <c r="E42" s="96"/>
      <c r="F42" s="50">
        <v>20</v>
      </c>
      <c r="G42" s="51">
        <v>20</v>
      </c>
      <c r="H42" s="51">
        <v>20</v>
      </c>
      <c r="I42" s="51">
        <v>20</v>
      </c>
      <c r="J42" s="51">
        <v>20</v>
      </c>
      <c r="K42" s="51">
        <v>20</v>
      </c>
      <c r="L42" s="51">
        <v>20</v>
      </c>
      <c r="M42" s="52">
        <v>20</v>
      </c>
      <c r="N42" s="60" t="s">
        <v>113</v>
      </c>
      <c r="O42" s="47" t="s">
        <v>27</v>
      </c>
      <c r="P42" s="48" t="s">
        <v>27</v>
      </c>
      <c r="Q42" s="48" t="s">
        <v>27</v>
      </c>
      <c r="R42" s="49" t="s">
        <v>27</v>
      </c>
    </row>
    <row r="43" spans="1:18" ht="16" thickBot="1" x14ac:dyDescent="0.25">
      <c r="A43" s="74" t="s">
        <v>167</v>
      </c>
      <c r="B43" s="75">
        <f>B42*1000</f>
        <v>24636.3</v>
      </c>
      <c r="C43" s="76" t="s">
        <v>26</v>
      </c>
      <c r="D43" s="20">
        <v>1</v>
      </c>
      <c r="E43" s="39" t="s">
        <v>114</v>
      </c>
      <c r="F43" s="39">
        <f>F3/$F$42</f>
        <v>5.4500000000000002E-4</v>
      </c>
      <c r="G43" s="39">
        <f>G3/$G$42</f>
        <v>2.7499999999999996E-4</v>
      </c>
      <c r="H43" s="39">
        <f>H3/$H$42</f>
        <v>5.2999999999999998E-4</v>
      </c>
      <c r="I43" s="39">
        <f>I3/$I$42</f>
        <v>5.4500000000000002E-4</v>
      </c>
      <c r="J43" s="39">
        <f>J3/$J$42</f>
        <v>3.0500000000000004E-4</v>
      </c>
      <c r="K43" s="39">
        <f>K3/$K$42</f>
        <v>0</v>
      </c>
      <c r="L43" s="39">
        <f>L3/$L$42</f>
        <v>0</v>
      </c>
      <c r="M43" s="39">
        <f t="shared" ref="M43:M60" si="19">M3/$M$42</f>
        <v>0</v>
      </c>
      <c r="N43" s="7">
        <v>5.7000000000000002E-2</v>
      </c>
      <c r="O43" s="39">
        <f>MAX(F43:G43)/N43</f>
        <v>9.5614035087719304E-3</v>
      </c>
      <c r="P43" s="39">
        <f>MAX(G43:H43)/N43</f>
        <v>9.2982456140350868E-3</v>
      </c>
      <c r="Q43" s="39">
        <f>MAX(J43:K43)/N43</f>
        <v>5.3508771929824568E-3</v>
      </c>
      <c r="R43" s="39">
        <f>MAX(L43:M43)/N43</f>
        <v>0</v>
      </c>
    </row>
    <row r="44" spans="1:18" ht="15" x14ac:dyDescent="0.2">
      <c r="D44" s="20">
        <v>2</v>
      </c>
      <c r="E44" s="39" t="s">
        <v>115</v>
      </c>
      <c r="F44" s="39">
        <f>F4/$F$42</f>
        <v>5.2</v>
      </c>
      <c r="G44" s="39">
        <f>G4/$G$42</f>
        <v>4.33</v>
      </c>
      <c r="H44" s="39">
        <f>H4/$H$42</f>
        <v>5.8</v>
      </c>
      <c r="I44" s="39">
        <f>I4/$I$42</f>
        <v>5.8</v>
      </c>
      <c r="J44" s="39">
        <f>J4/$J$42</f>
        <v>0.372</v>
      </c>
      <c r="K44" s="39">
        <f>K4/$K$42</f>
        <v>0.625</v>
      </c>
      <c r="L44" s="39">
        <f>L4/$L$42</f>
        <v>0.10500000000000001</v>
      </c>
      <c r="M44" s="39">
        <f t="shared" si="19"/>
        <v>9.8000000000000004E-2</v>
      </c>
      <c r="N44" s="7">
        <v>114.7</v>
      </c>
      <c r="O44" s="39">
        <f t="shared" ref="O44:O45" si="20">MAX(F44:G44)/N44</f>
        <v>4.5335658238884045E-2</v>
      </c>
      <c r="P44" s="39">
        <f t="shared" ref="P44:P60" si="21">MAX(G44:H44)/N44</f>
        <v>5.0566695727986048E-2</v>
      </c>
      <c r="Q44" s="39">
        <f t="shared" ref="Q44:Q60" si="22">MAX(J44:K44)/N44</f>
        <v>5.4489973844812556E-3</v>
      </c>
      <c r="R44" s="39">
        <f t="shared" ref="R44:R60" si="23">MAX(L44:M44)/N44</f>
        <v>9.1543156059285097E-4</v>
      </c>
    </row>
    <row r="45" spans="1:18" ht="15" x14ac:dyDescent="0.2">
      <c r="D45" s="20">
        <v>3</v>
      </c>
      <c r="E45" s="39" t="s">
        <v>116</v>
      </c>
      <c r="F45" s="39">
        <f t="shared" ref="F45:F60" si="24">F5/$F$42</f>
        <v>7.1</v>
      </c>
      <c r="G45" s="39">
        <f t="shared" ref="G45:G60" si="25">G5/$G$42</f>
        <v>6.7</v>
      </c>
      <c r="H45" s="39">
        <f t="shared" ref="H45:H60" si="26">H5/$H$42</f>
        <v>12.6</v>
      </c>
      <c r="I45" s="39">
        <f t="shared" ref="I45:I60" si="27">I5/$I$42</f>
        <v>11.1</v>
      </c>
      <c r="J45" s="39">
        <f t="shared" ref="J45:J60" si="28">J5/$J$42</f>
        <v>6.95</v>
      </c>
      <c r="K45" s="39">
        <f t="shared" ref="K45:K60" si="29">K5/$K$42</f>
        <v>6.95</v>
      </c>
      <c r="L45" s="39">
        <f t="shared" ref="L45:L60" si="30">L5/$L$42</f>
        <v>3</v>
      </c>
      <c r="M45" s="39">
        <f t="shared" si="19"/>
        <v>2.7</v>
      </c>
      <c r="N45" s="6">
        <v>2900</v>
      </c>
      <c r="O45" s="39">
        <f t="shared" si="20"/>
        <v>2.4482758620689654E-3</v>
      </c>
      <c r="P45" s="39">
        <f t="shared" si="21"/>
        <v>4.3448275862068963E-3</v>
      </c>
      <c r="Q45" s="39">
        <f t="shared" si="22"/>
        <v>2.3965517241379313E-3</v>
      </c>
      <c r="R45" s="39">
        <f t="shared" si="23"/>
        <v>1.0344827586206897E-3</v>
      </c>
    </row>
    <row r="46" spans="1:18" ht="15" x14ac:dyDescent="0.2">
      <c r="D46" s="20">
        <v>4</v>
      </c>
      <c r="E46" s="39" t="s">
        <v>117</v>
      </c>
      <c r="F46" s="39">
        <f t="shared" si="24"/>
        <v>1.1099999999999999</v>
      </c>
      <c r="G46" s="39">
        <f t="shared" si="25"/>
        <v>1.0050000000000001</v>
      </c>
      <c r="H46" s="39">
        <f t="shared" si="26"/>
        <v>0.97499999999999998</v>
      </c>
      <c r="I46" s="39">
        <f t="shared" si="27"/>
        <v>0.89</v>
      </c>
      <c r="J46" s="39">
        <f t="shared" si="28"/>
        <v>0.13200000000000001</v>
      </c>
      <c r="K46" s="39">
        <f t="shared" si="29"/>
        <v>0.1845</v>
      </c>
      <c r="L46" s="39">
        <f t="shared" si="30"/>
        <v>0</v>
      </c>
      <c r="M46" s="39">
        <f t="shared" si="19"/>
        <v>0</v>
      </c>
      <c r="N46" s="3">
        <v>1.06</v>
      </c>
      <c r="O46" s="39">
        <f>MAX(F46:G46)/N46</f>
        <v>1.0471698113207546</v>
      </c>
      <c r="P46" s="39">
        <f t="shared" si="21"/>
        <v>0.94811320754716988</v>
      </c>
      <c r="Q46" s="39">
        <f t="shared" si="22"/>
        <v>0.17405660377358489</v>
      </c>
      <c r="R46" s="39">
        <f t="shared" si="23"/>
        <v>0</v>
      </c>
    </row>
    <row r="47" spans="1:18" ht="15" x14ac:dyDescent="0.2">
      <c r="D47" s="20">
        <v>5</v>
      </c>
      <c r="E47" s="39" t="s">
        <v>118</v>
      </c>
      <c r="F47" s="39">
        <f t="shared" si="24"/>
        <v>15.95</v>
      </c>
      <c r="G47" s="39">
        <f t="shared" si="25"/>
        <v>11.8</v>
      </c>
      <c r="H47" s="39">
        <f t="shared" si="26"/>
        <v>7.25</v>
      </c>
      <c r="I47" s="39">
        <f t="shared" si="27"/>
        <v>7.1</v>
      </c>
      <c r="J47" s="39">
        <f t="shared" si="28"/>
        <v>1.1000000000000001</v>
      </c>
      <c r="K47" s="39">
        <f t="shared" si="29"/>
        <v>0.82499999999999996</v>
      </c>
      <c r="L47" s="39">
        <f t="shared" si="30"/>
        <v>0</v>
      </c>
      <c r="M47" s="39">
        <f t="shared" si="19"/>
        <v>0</v>
      </c>
      <c r="N47" s="3">
        <v>6.3</v>
      </c>
      <c r="O47" s="39">
        <f>MAX(F47:G47)/N47</f>
        <v>2.5317460317460316</v>
      </c>
      <c r="P47" s="39">
        <f t="shared" si="21"/>
        <v>1.8730158730158732</v>
      </c>
      <c r="Q47" s="39">
        <f t="shared" si="22"/>
        <v>0.17460317460317462</v>
      </c>
      <c r="R47" s="39">
        <f t="shared" si="23"/>
        <v>0</v>
      </c>
    </row>
    <row r="48" spans="1:18" ht="15" x14ac:dyDescent="0.2">
      <c r="D48" s="20">
        <v>6</v>
      </c>
      <c r="E48" s="39" t="s">
        <v>16</v>
      </c>
      <c r="F48" s="39">
        <f t="shared" si="24"/>
        <v>0.86999999999999988</v>
      </c>
      <c r="G48" s="39">
        <f t="shared" si="25"/>
        <v>0.85</v>
      </c>
      <c r="H48" s="39">
        <f t="shared" si="26"/>
        <v>1.1949999999999998</v>
      </c>
      <c r="I48" s="39">
        <f t="shared" si="27"/>
        <v>1.405</v>
      </c>
      <c r="J48" s="39">
        <f t="shared" si="28"/>
        <v>0.59499999999999997</v>
      </c>
      <c r="K48" s="39">
        <f t="shared" si="29"/>
        <v>0.57499999999999996</v>
      </c>
      <c r="L48" s="39">
        <f t="shared" si="30"/>
        <v>0</v>
      </c>
      <c r="M48" s="39">
        <f t="shared" si="19"/>
        <v>0</v>
      </c>
      <c r="N48" s="3">
        <v>1650</v>
      </c>
      <c r="O48" s="39">
        <f>MAX(F48:G48)/N48</f>
        <v>5.2727272727272725E-4</v>
      </c>
      <c r="P48" s="39">
        <f t="shared" si="21"/>
        <v>7.2424242424242412E-4</v>
      </c>
      <c r="Q48" s="39">
        <f t="shared" si="22"/>
        <v>3.6060606060606061E-4</v>
      </c>
      <c r="R48" s="39">
        <f t="shared" si="23"/>
        <v>0</v>
      </c>
    </row>
    <row r="49" spans="4:18" ht="15" x14ac:dyDescent="0.2">
      <c r="D49" s="20">
        <v>7</v>
      </c>
      <c r="E49" s="39" t="s">
        <v>119</v>
      </c>
      <c r="F49" s="39">
        <f t="shared" si="24"/>
        <v>37.700000000000003</v>
      </c>
      <c r="G49" s="39">
        <f t="shared" si="25"/>
        <v>40.700000000000003</v>
      </c>
      <c r="H49" s="39">
        <f t="shared" si="26"/>
        <v>50</v>
      </c>
      <c r="I49" s="39">
        <f t="shared" si="27"/>
        <v>49.3</v>
      </c>
      <c r="J49" s="39">
        <f t="shared" si="28"/>
        <v>13.15</v>
      </c>
      <c r="K49" s="39">
        <f t="shared" si="29"/>
        <v>14.2</v>
      </c>
      <c r="L49" s="39">
        <f t="shared" si="30"/>
        <v>3.145</v>
      </c>
      <c r="M49" s="39">
        <f t="shared" si="19"/>
        <v>3.05</v>
      </c>
      <c r="N49" s="3">
        <v>34</v>
      </c>
      <c r="O49" s="39">
        <f t="shared" ref="O49:O60" si="31">MAX(F49:G49)/N49</f>
        <v>1.197058823529412</v>
      </c>
      <c r="P49" s="39">
        <f t="shared" si="21"/>
        <v>1.4705882352941178</v>
      </c>
      <c r="Q49" s="39">
        <f t="shared" si="22"/>
        <v>0.41764705882352937</v>
      </c>
      <c r="R49" s="39">
        <f t="shared" si="23"/>
        <v>9.2499999999999999E-2</v>
      </c>
    </row>
    <row r="50" spans="4:18" ht="15" x14ac:dyDescent="0.2">
      <c r="D50" s="20">
        <v>8</v>
      </c>
      <c r="E50" s="39" t="s">
        <v>120</v>
      </c>
      <c r="F50" s="39">
        <f t="shared" si="24"/>
        <v>0</v>
      </c>
      <c r="G50" s="39">
        <f t="shared" si="25"/>
        <v>0</v>
      </c>
      <c r="H50" s="39">
        <f t="shared" si="26"/>
        <v>0</v>
      </c>
      <c r="I50" s="39">
        <f t="shared" si="27"/>
        <v>0</v>
      </c>
      <c r="J50" s="39">
        <f t="shared" si="28"/>
        <v>0</v>
      </c>
      <c r="K50" s="39">
        <f t="shared" si="29"/>
        <v>0</v>
      </c>
      <c r="L50" s="39">
        <f t="shared" si="30"/>
        <v>0</v>
      </c>
      <c r="M50" s="39">
        <f t="shared" si="19"/>
        <v>0</v>
      </c>
      <c r="N50" s="3">
        <v>11900</v>
      </c>
      <c r="O50" s="39">
        <f t="shared" si="31"/>
        <v>0</v>
      </c>
      <c r="P50" s="39">
        <f t="shared" si="21"/>
        <v>0</v>
      </c>
      <c r="Q50" s="39">
        <f t="shared" si="22"/>
        <v>0</v>
      </c>
      <c r="R50" s="39">
        <f t="shared" si="23"/>
        <v>0</v>
      </c>
    </row>
    <row r="51" spans="4:18" ht="15" x14ac:dyDescent="0.2">
      <c r="D51" s="20">
        <v>9</v>
      </c>
      <c r="E51" s="39" t="s">
        <v>11</v>
      </c>
      <c r="F51" s="39">
        <f t="shared" si="24"/>
        <v>0</v>
      </c>
      <c r="G51" s="39">
        <f t="shared" si="25"/>
        <v>0</v>
      </c>
      <c r="H51" s="39">
        <f t="shared" si="26"/>
        <v>0</v>
      </c>
      <c r="I51" s="39">
        <f t="shared" si="27"/>
        <v>0</v>
      </c>
      <c r="J51" s="39">
        <f t="shared" si="28"/>
        <v>0</v>
      </c>
      <c r="K51" s="39">
        <f t="shared" si="29"/>
        <v>0</v>
      </c>
      <c r="L51" s="39">
        <f t="shared" si="30"/>
        <v>0</v>
      </c>
      <c r="M51" s="39">
        <f t="shared" si="19"/>
        <v>0</v>
      </c>
      <c r="N51" s="3">
        <v>37</v>
      </c>
      <c r="O51" s="39">
        <f t="shared" si="31"/>
        <v>0</v>
      </c>
      <c r="P51" s="39">
        <f t="shared" si="21"/>
        <v>0</v>
      </c>
      <c r="Q51" s="39">
        <f t="shared" si="22"/>
        <v>0</v>
      </c>
      <c r="R51" s="39">
        <f t="shared" si="23"/>
        <v>0</v>
      </c>
    </row>
    <row r="52" spans="4:18" ht="15" x14ac:dyDescent="0.2">
      <c r="D52" s="20">
        <v>10</v>
      </c>
      <c r="E52" s="39" t="s">
        <v>121</v>
      </c>
      <c r="F52" s="39">
        <f t="shared" si="24"/>
        <v>0.14499999999999999</v>
      </c>
      <c r="G52" s="39">
        <f t="shared" si="25"/>
        <v>0.12</v>
      </c>
      <c r="H52" s="39">
        <f t="shared" si="26"/>
        <v>0.17499999999999999</v>
      </c>
      <c r="I52" s="39">
        <f t="shared" si="27"/>
        <v>0.18</v>
      </c>
      <c r="J52" s="39">
        <f t="shared" si="28"/>
        <v>5.5000000000000007E-2</v>
      </c>
      <c r="K52" s="39">
        <f t="shared" si="29"/>
        <v>0.05</v>
      </c>
      <c r="L52" s="39">
        <f t="shared" si="30"/>
        <v>0</v>
      </c>
      <c r="M52" s="39">
        <f t="shared" si="19"/>
        <v>0</v>
      </c>
      <c r="N52" s="3">
        <v>4.0999999999999996</v>
      </c>
      <c r="O52" s="39">
        <f t="shared" si="31"/>
        <v>3.5365853658536589E-2</v>
      </c>
      <c r="P52" s="39">
        <f t="shared" si="21"/>
        <v>4.2682926829268296E-2</v>
      </c>
      <c r="Q52" s="39">
        <f t="shared" si="22"/>
        <v>1.3414634146341467E-2</v>
      </c>
      <c r="R52" s="39">
        <f t="shared" si="23"/>
        <v>0</v>
      </c>
    </row>
    <row r="53" spans="4:18" ht="15" x14ac:dyDescent="0.2">
      <c r="D53" s="20">
        <v>11</v>
      </c>
      <c r="E53" s="39" t="s">
        <v>122</v>
      </c>
      <c r="F53" s="39">
        <f t="shared" si="24"/>
        <v>73</v>
      </c>
      <c r="G53" s="39">
        <f t="shared" si="25"/>
        <v>87</v>
      </c>
      <c r="H53" s="39">
        <f t="shared" si="26"/>
        <v>93.5</v>
      </c>
      <c r="I53" s="39">
        <f t="shared" si="27"/>
        <v>96.5</v>
      </c>
      <c r="J53" s="39">
        <f t="shared" si="28"/>
        <v>30.6</v>
      </c>
      <c r="K53" s="39">
        <f t="shared" si="29"/>
        <v>31.95</v>
      </c>
      <c r="L53" s="39">
        <f t="shared" si="30"/>
        <v>6.35</v>
      </c>
      <c r="M53" s="39">
        <f t="shared" si="19"/>
        <v>6.25</v>
      </c>
      <c r="N53" s="3">
        <v>14.4</v>
      </c>
      <c r="O53" s="39">
        <f>MAX(F53:G53)/N53</f>
        <v>6.0416666666666661</v>
      </c>
      <c r="P53" s="39">
        <f t="shared" si="21"/>
        <v>6.4930555555555554</v>
      </c>
      <c r="Q53" s="39">
        <f t="shared" si="22"/>
        <v>2.21875</v>
      </c>
      <c r="R53" s="39">
        <f t="shared" si="23"/>
        <v>0.44097222222222221</v>
      </c>
    </row>
    <row r="54" spans="4:18" ht="15" x14ac:dyDescent="0.2">
      <c r="D54" s="20">
        <v>12</v>
      </c>
      <c r="E54" s="39" t="s">
        <v>123</v>
      </c>
      <c r="F54" s="39">
        <f t="shared" si="24"/>
        <v>7.1999999999999995E-2</v>
      </c>
      <c r="G54" s="39">
        <f t="shared" si="25"/>
        <v>9.35E-2</v>
      </c>
      <c r="H54" s="39">
        <f t="shared" si="26"/>
        <v>8.299999999999999E-2</v>
      </c>
      <c r="I54" s="39">
        <f t="shared" si="27"/>
        <v>0.10049999999999999</v>
      </c>
      <c r="J54" s="39">
        <f t="shared" si="28"/>
        <v>0</v>
      </c>
      <c r="K54" s="39">
        <f t="shared" si="29"/>
        <v>0</v>
      </c>
      <c r="L54" s="39">
        <f t="shared" si="30"/>
        <v>0</v>
      </c>
      <c r="M54" s="39">
        <f t="shared" si="19"/>
        <v>0</v>
      </c>
      <c r="N54" s="3">
        <v>0.19</v>
      </c>
      <c r="O54" s="39">
        <f t="shared" si="31"/>
        <v>0.49210526315789471</v>
      </c>
      <c r="P54" s="39">
        <f t="shared" si="21"/>
        <v>0.49210526315789471</v>
      </c>
      <c r="Q54" s="39">
        <f t="shared" si="22"/>
        <v>0</v>
      </c>
      <c r="R54" s="39">
        <f t="shared" si="23"/>
        <v>0</v>
      </c>
    </row>
    <row r="55" spans="4:18" ht="15" x14ac:dyDescent="0.2">
      <c r="D55" s="20">
        <v>13</v>
      </c>
      <c r="E55" s="39" t="s">
        <v>124</v>
      </c>
      <c r="F55" s="39">
        <f t="shared" si="24"/>
        <v>0.65500000000000003</v>
      </c>
      <c r="G55" s="39">
        <f t="shared" si="25"/>
        <v>0.57000000000000006</v>
      </c>
      <c r="H55" s="39">
        <f t="shared" si="26"/>
        <v>0.90999999999999992</v>
      </c>
      <c r="I55" s="39">
        <f t="shared" si="27"/>
        <v>0.88500000000000001</v>
      </c>
      <c r="J55" s="39">
        <f t="shared" si="28"/>
        <v>0.24049999999999999</v>
      </c>
      <c r="K55" s="39">
        <f t="shared" si="29"/>
        <v>0.27549999999999997</v>
      </c>
      <c r="L55" s="39">
        <f t="shared" si="30"/>
        <v>5.0500000000000003E-2</v>
      </c>
      <c r="M55" s="39">
        <f t="shared" si="19"/>
        <v>5.0500000000000003E-2</v>
      </c>
      <c r="N55" s="3">
        <v>6.5</v>
      </c>
      <c r="O55" s="39">
        <f t="shared" si="31"/>
        <v>0.10076923076923078</v>
      </c>
      <c r="P55" s="39">
        <f t="shared" si="21"/>
        <v>0.13999999999999999</v>
      </c>
      <c r="Q55" s="39">
        <f t="shared" si="22"/>
        <v>4.2384615384615382E-2</v>
      </c>
      <c r="R55" s="39">
        <f t="shared" si="23"/>
        <v>7.7692307692307696E-3</v>
      </c>
    </row>
    <row r="56" spans="4:18" ht="15" x14ac:dyDescent="0.2">
      <c r="D56" s="20">
        <v>14</v>
      </c>
      <c r="E56" s="39" t="s">
        <v>125</v>
      </c>
      <c r="F56" s="39">
        <f t="shared" si="24"/>
        <v>4.4649999999999999</v>
      </c>
      <c r="G56" s="39">
        <f t="shared" si="25"/>
        <v>3.7049999999999996</v>
      </c>
      <c r="H56" s="39">
        <f t="shared" si="26"/>
        <v>4.41</v>
      </c>
      <c r="I56" s="39">
        <f t="shared" si="27"/>
        <v>4.26</v>
      </c>
      <c r="J56" s="39">
        <f t="shared" si="28"/>
        <v>2.375</v>
      </c>
      <c r="K56" s="39">
        <f t="shared" si="29"/>
        <v>3.4950000000000001</v>
      </c>
      <c r="L56" s="39">
        <f t="shared" si="30"/>
        <v>0.745</v>
      </c>
      <c r="M56" s="39">
        <f t="shared" si="19"/>
        <v>0.68499999999999994</v>
      </c>
      <c r="N56" s="3">
        <v>20</v>
      </c>
      <c r="O56" s="39">
        <f t="shared" si="31"/>
        <v>0.22325</v>
      </c>
      <c r="P56" s="39">
        <f t="shared" si="21"/>
        <v>0.2205</v>
      </c>
      <c r="Q56" s="39">
        <f t="shared" si="22"/>
        <v>0.17475000000000002</v>
      </c>
      <c r="R56" s="39">
        <f t="shared" si="23"/>
        <v>3.7249999999999998E-2</v>
      </c>
    </row>
    <row r="57" spans="4:18" ht="15" x14ac:dyDescent="0.2">
      <c r="D57" s="20">
        <v>15</v>
      </c>
      <c r="E57" s="39" t="s">
        <v>126</v>
      </c>
      <c r="F57" s="39">
        <f t="shared" si="24"/>
        <v>0.9</v>
      </c>
      <c r="G57" s="39">
        <f t="shared" si="25"/>
        <v>0.22400000000000003</v>
      </c>
      <c r="H57" s="39">
        <f t="shared" si="26"/>
        <v>1.6649999999999998</v>
      </c>
      <c r="I57" s="39">
        <f t="shared" si="27"/>
        <v>1.3050000000000002</v>
      </c>
      <c r="J57" s="39">
        <f t="shared" si="28"/>
        <v>0</v>
      </c>
      <c r="K57" s="39">
        <f t="shared" si="29"/>
        <v>5.0500000000000003E-2</v>
      </c>
      <c r="L57" s="39">
        <f t="shared" si="30"/>
        <v>0</v>
      </c>
      <c r="M57" s="39">
        <f t="shared" si="19"/>
        <v>0</v>
      </c>
      <c r="N57" s="3">
        <v>2.4</v>
      </c>
      <c r="O57" s="39">
        <f t="shared" si="31"/>
        <v>0.375</v>
      </c>
      <c r="P57" s="39">
        <f t="shared" si="21"/>
        <v>0.69374999999999998</v>
      </c>
      <c r="Q57" s="39">
        <f t="shared" si="22"/>
        <v>2.104166666666667E-2</v>
      </c>
      <c r="R57" s="39">
        <f t="shared" si="23"/>
        <v>0</v>
      </c>
    </row>
    <row r="58" spans="4:18" ht="15" x14ac:dyDescent="0.2">
      <c r="D58" s="20">
        <v>16</v>
      </c>
      <c r="E58" s="39" t="s">
        <v>127</v>
      </c>
      <c r="F58" s="39">
        <f t="shared" si="24"/>
        <v>0.22349999999999998</v>
      </c>
      <c r="G58" s="39">
        <f t="shared" si="25"/>
        <v>0.2185</v>
      </c>
      <c r="H58" s="39">
        <f t="shared" si="26"/>
        <v>0.316</v>
      </c>
      <c r="I58" s="39">
        <f t="shared" si="27"/>
        <v>0.29399999999999998</v>
      </c>
      <c r="J58" s="39">
        <f t="shared" si="28"/>
        <v>0.1065</v>
      </c>
      <c r="K58" s="39">
        <f t="shared" si="29"/>
        <v>0.11499999999999999</v>
      </c>
      <c r="L58" s="39">
        <f t="shared" si="30"/>
        <v>0</v>
      </c>
      <c r="M58" s="39">
        <f t="shared" si="19"/>
        <v>0</v>
      </c>
      <c r="N58" s="3">
        <v>5.6</v>
      </c>
      <c r="O58" s="39">
        <f t="shared" si="31"/>
        <v>3.9910714285714285E-2</v>
      </c>
      <c r="P58" s="39">
        <f t="shared" si="21"/>
        <v>5.6428571428571432E-2</v>
      </c>
      <c r="Q58" s="39">
        <f t="shared" si="22"/>
        <v>2.0535714285714286E-2</v>
      </c>
      <c r="R58" s="39">
        <f t="shared" si="23"/>
        <v>0</v>
      </c>
    </row>
    <row r="59" spans="4:18" ht="15" x14ac:dyDescent="0.2">
      <c r="D59" s="20">
        <v>17</v>
      </c>
      <c r="E59" s="39" t="s">
        <v>1</v>
      </c>
      <c r="F59" s="39">
        <f t="shared" si="24"/>
        <v>0</v>
      </c>
      <c r="G59" s="39">
        <f t="shared" si="25"/>
        <v>0</v>
      </c>
      <c r="H59" s="39">
        <f t="shared" si="26"/>
        <v>0</v>
      </c>
      <c r="I59" s="39">
        <f t="shared" si="27"/>
        <v>0</v>
      </c>
      <c r="J59" s="39">
        <f t="shared" si="28"/>
        <v>0</v>
      </c>
      <c r="K59" s="39">
        <f t="shared" si="29"/>
        <v>0</v>
      </c>
      <c r="L59" s="39">
        <f t="shared" si="30"/>
        <v>0</v>
      </c>
      <c r="M59" s="39">
        <f t="shared" si="19"/>
        <v>0</v>
      </c>
      <c r="N59" s="3">
        <v>28</v>
      </c>
      <c r="O59" s="39">
        <f t="shared" si="31"/>
        <v>0</v>
      </c>
      <c r="P59" s="39">
        <f t="shared" si="21"/>
        <v>0</v>
      </c>
      <c r="Q59" s="39">
        <f t="shared" si="22"/>
        <v>0</v>
      </c>
      <c r="R59" s="39">
        <f t="shared" si="23"/>
        <v>0</v>
      </c>
    </row>
    <row r="60" spans="4:18" ht="15" x14ac:dyDescent="0.2">
      <c r="D60" s="20">
        <v>18</v>
      </c>
      <c r="E60" s="39" t="s">
        <v>0</v>
      </c>
      <c r="F60" s="39">
        <f t="shared" si="24"/>
        <v>1231.8150000000001</v>
      </c>
      <c r="G60" s="39">
        <f t="shared" si="25"/>
        <v>0</v>
      </c>
      <c r="H60" s="39">
        <f t="shared" si="26"/>
        <v>0</v>
      </c>
      <c r="I60" s="39">
        <f t="shared" si="27"/>
        <v>0</v>
      </c>
      <c r="J60" s="39">
        <f t="shared" si="28"/>
        <v>0</v>
      </c>
      <c r="K60" s="39">
        <f t="shared" si="29"/>
        <v>0</v>
      </c>
      <c r="L60" s="39">
        <f t="shared" si="30"/>
        <v>0</v>
      </c>
      <c r="M60" s="39">
        <f t="shared" si="19"/>
        <v>0</v>
      </c>
      <c r="N60" s="3">
        <v>170</v>
      </c>
      <c r="O60" s="39">
        <f t="shared" si="31"/>
        <v>7.2459705882352941</v>
      </c>
      <c r="P60" s="39">
        <f t="shared" si="21"/>
        <v>0</v>
      </c>
      <c r="Q60" s="39">
        <f t="shared" si="22"/>
        <v>0</v>
      </c>
      <c r="R60" s="39">
        <f t="shared" si="23"/>
        <v>0</v>
      </c>
    </row>
    <row r="61" spans="4:18" ht="16" x14ac:dyDescent="0.2">
      <c r="E61" s="95" t="s">
        <v>99</v>
      </c>
      <c r="F61" s="97" t="s">
        <v>128</v>
      </c>
      <c r="G61" s="98"/>
      <c r="H61" s="98"/>
      <c r="I61" s="98"/>
      <c r="J61" s="98"/>
      <c r="K61" s="98"/>
      <c r="L61" s="98"/>
      <c r="M61" s="99"/>
      <c r="N61" s="59" t="s">
        <v>104</v>
      </c>
      <c r="O61" s="47" t="s">
        <v>105</v>
      </c>
      <c r="P61" s="48" t="s">
        <v>106</v>
      </c>
      <c r="Q61" s="48" t="s">
        <v>107</v>
      </c>
      <c r="R61" s="49" t="s">
        <v>108</v>
      </c>
    </row>
    <row r="62" spans="4:18" ht="15" x14ac:dyDescent="0.2">
      <c r="E62" s="96"/>
      <c r="F62" s="50">
        <v>50</v>
      </c>
      <c r="G62" s="51">
        <v>50</v>
      </c>
      <c r="H62" s="51">
        <v>50</v>
      </c>
      <c r="I62" s="51">
        <v>50</v>
      </c>
      <c r="J62" s="51">
        <v>50</v>
      </c>
      <c r="K62" s="51">
        <v>50</v>
      </c>
      <c r="L62" s="51">
        <v>50</v>
      </c>
      <c r="M62" s="52">
        <v>50</v>
      </c>
      <c r="N62" s="60" t="s">
        <v>113</v>
      </c>
      <c r="O62" s="47" t="s">
        <v>27</v>
      </c>
      <c r="P62" s="48" t="s">
        <v>27</v>
      </c>
      <c r="Q62" s="48" t="s">
        <v>27</v>
      </c>
      <c r="R62" s="49" t="s">
        <v>27</v>
      </c>
    </row>
    <row r="63" spans="4:18" ht="15" x14ac:dyDescent="0.2">
      <c r="D63" s="20">
        <v>1</v>
      </c>
      <c r="E63" s="39" t="s">
        <v>114</v>
      </c>
      <c r="F63" s="39">
        <f>F3/$F$62</f>
        <v>2.1799999999999999E-4</v>
      </c>
      <c r="G63" s="39">
        <f>G3/$G$62</f>
        <v>1.0999999999999999E-4</v>
      </c>
      <c r="H63" s="39">
        <f>H3/$H$62</f>
        <v>2.12E-4</v>
      </c>
      <c r="I63" s="39">
        <f>I3/$I$62</f>
        <v>2.1799999999999999E-4</v>
      </c>
      <c r="J63" s="39">
        <f>J3/$J$62</f>
        <v>1.2200000000000001E-4</v>
      </c>
      <c r="K63" s="39">
        <f>K3/$K$62</f>
        <v>0</v>
      </c>
      <c r="L63" s="39">
        <f>L3/$L$62</f>
        <v>0</v>
      </c>
      <c r="M63" s="39">
        <f>M3/$M$62</f>
        <v>0</v>
      </c>
      <c r="N63" s="7">
        <v>5.7000000000000002E-2</v>
      </c>
      <c r="O63" s="39">
        <f>MAX(F63:G63)/N63</f>
        <v>3.8245614035087717E-3</v>
      </c>
      <c r="P63" s="39">
        <f>MAX(G63:H63)/N63</f>
        <v>3.719298245614035E-3</v>
      </c>
      <c r="Q63" s="39">
        <f>MAX(J63:K63)/N63</f>
        <v>2.1403508771929824E-3</v>
      </c>
      <c r="R63" s="39">
        <f>MAX(L63:M63)/N63</f>
        <v>0</v>
      </c>
    </row>
    <row r="64" spans="4:18" ht="15" x14ac:dyDescent="0.2">
      <c r="D64" s="20">
        <v>2</v>
      </c>
      <c r="E64" s="39" t="s">
        <v>115</v>
      </c>
      <c r="F64" s="39">
        <f>F4/$F$62</f>
        <v>2.08</v>
      </c>
      <c r="G64" s="39">
        <f>G4/$G$62</f>
        <v>1.732</v>
      </c>
      <c r="H64" s="39">
        <f>H4/$H$62</f>
        <v>2.3199999999999998</v>
      </c>
      <c r="I64" s="39">
        <f>I4/$I$62</f>
        <v>2.3199999999999998</v>
      </c>
      <c r="J64" s="39">
        <f>J4/$J$62</f>
        <v>0.14880000000000002</v>
      </c>
      <c r="K64" s="39">
        <f>K4/$K$62</f>
        <v>0.25</v>
      </c>
      <c r="L64" s="39">
        <f>L4/$L$62</f>
        <v>4.2000000000000003E-2</v>
      </c>
      <c r="M64" s="39">
        <f>M4/$M$62</f>
        <v>3.9199999999999999E-2</v>
      </c>
      <c r="N64" s="7">
        <v>114.7</v>
      </c>
      <c r="O64" s="39">
        <f t="shared" ref="O64:O80" si="32">MAX(F64:G64)/N64</f>
        <v>1.8134263295553617E-2</v>
      </c>
      <c r="P64" s="39">
        <f t="shared" ref="P64:P80" si="33">MAX(G64:H64)/N64</f>
        <v>2.0226678291194417E-2</v>
      </c>
      <c r="Q64" s="39">
        <f t="shared" ref="Q64:Q80" si="34">MAX(J64:K64)/N64</f>
        <v>2.179598953792502E-3</v>
      </c>
      <c r="R64" s="39">
        <f t="shared" ref="R64:R80" si="35">MAX(L64:M64)/N64</f>
        <v>3.6617262423714039E-4</v>
      </c>
    </row>
    <row r="65" spans="4:18" ht="15" x14ac:dyDescent="0.2">
      <c r="D65" s="20">
        <v>3</v>
      </c>
      <c r="E65" s="39" t="s">
        <v>116</v>
      </c>
      <c r="F65" s="39">
        <f t="shared" ref="F65:F80" si="36">F5/$F$62</f>
        <v>2.84</v>
      </c>
      <c r="G65" s="39">
        <f t="shared" ref="G65:G80" si="37">G5/$G$62</f>
        <v>2.68</v>
      </c>
      <c r="H65" s="39">
        <f t="shared" ref="H65:H80" si="38">H5/$H$62</f>
        <v>5.04</v>
      </c>
      <c r="I65" s="39">
        <f t="shared" ref="I65:I80" si="39">I5/$I$62</f>
        <v>4.4400000000000004</v>
      </c>
      <c r="J65" s="39">
        <f t="shared" ref="J65:J80" si="40">J5/$J$62</f>
        <v>2.78</v>
      </c>
      <c r="K65" s="39">
        <f t="shared" ref="K65:K80" si="41">K5/$K$62</f>
        <v>2.78</v>
      </c>
      <c r="L65" s="39">
        <f t="shared" ref="L65:L80" si="42">L5/$L$62</f>
        <v>1.2</v>
      </c>
      <c r="M65" s="39">
        <f t="shared" ref="M65:M80" si="43">M5/$M$62</f>
        <v>1.08</v>
      </c>
      <c r="N65" s="6">
        <v>2900</v>
      </c>
      <c r="O65" s="39">
        <f t="shared" si="32"/>
        <v>9.7931034482758614E-4</v>
      </c>
      <c r="P65" s="39">
        <f t="shared" si="33"/>
        <v>1.7379310344827587E-3</v>
      </c>
      <c r="Q65" s="39">
        <f t="shared" si="34"/>
        <v>9.5862068965517236E-4</v>
      </c>
      <c r="R65" s="39">
        <f t="shared" si="35"/>
        <v>4.1379310344827585E-4</v>
      </c>
    </row>
    <row r="66" spans="4:18" ht="15" x14ac:dyDescent="0.2">
      <c r="D66" s="20">
        <v>4</v>
      </c>
      <c r="E66" s="39" t="s">
        <v>117</v>
      </c>
      <c r="F66" s="39">
        <f t="shared" si="36"/>
        <v>0.44400000000000001</v>
      </c>
      <c r="G66" s="39">
        <f t="shared" si="37"/>
        <v>0.40200000000000002</v>
      </c>
      <c r="H66" s="39">
        <f t="shared" si="38"/>
        <v>0.39</v>
      </c>
      <c r="I66" s="39">
        <f t="shared" si="39"/>
        <v>0.35600000000000004</v>
      </c>
      <c r="J66" s="39">
        <f t="shared" si="40"/>
        <v>5.28E-2</v>
      </c>
      <c r="K66" s="39">
        <f t="shared" si="41"/>
        <v>7.3800000000000004E-2</v>
      </c>
      <c r="L66" s="39">
        <f t="shared" si="42"/>
        <v>0</v>
      </c>
      <c r="M66" s="39">
        <f t="shared" si="43"/>
        <v>0</v>
      </c>
      <c r="N66" s="3">
        <v>1.06</v>
      </c>
      <c r="O66" s="39">
        <f t="shared" si="32"/>
        <v>0.41886792452830185</v>
      </c>
      <c r="P66" s="39">
        <f t="shared" si="33"/>
        <v>0.37924528301886795</v>
      </c>
      <c r="Q66" s="39">
        <f t="shared" si="34"/>
        <v>6.9622641509433966E-2</v>
      </c>
      <c r="R66" s="39">
        <f t="shared" si="35"/>
        <v>0</v>
      </c>
    </row>
    <row r="67" spans="4:18" ht="15" x14ac:dyDescent="0.2">
      <c r="D67" s="20">
        <v>5</v>
      </c>
      <c r="E67" s="39" t="s">
        <v>118</v>
      </c>
      <c r="F67" s="39">
        <f t="shared" si="36"/>
        <v>6.38</v>
      </c>
      <c r="G67" s="39">
        <f t="shared" si="37"/>
        <v>4.72</v>
      </c>
      <c r="H67" s="39">
        <f t="shared" si="38"/>
        <v>2.9</v>
      </c>
      <c r="I67" s="39">
        <f t="shared" si="39"/>
        <v>2.84</v>
      </c>
      <c r="J67" s="39">
        <f t="shared" si="40"/>
        <v>0.44</v>
      </c>
      <c r="K67" s="39">
        <f t="shared" si="41"/>
        <v>0.33</v>
      </c>
      <c r="L67" s="39">
        <f t="shared" si="42"/>
        <v>0</v>
      </c>
      <c r="M67" s="39">
        <f t="shared" si="43"/>
        <v>0</v>
      </c>
      <c r="N67" s="3">
        <v>6.3</v>
      </c>
      <c r="O67" s="39">
        <f t="shared" si="32"/>
        <v>1.0126984126984127</v>
      </c>
      <c r="P67" s="39">
        <f t="shared" si="33"/>
        <v>0.74920634920634921</v>
      </c>
      <c r="Q67" s="39">
        <f t="shared" si="34"/>
        <v>6.9841269841269843E-2</v>
      </c>
      <c r="R67" s="39">
        <f t="shared" si="35"/>
        <v>0</v>
      </c>
    </row>
    <row r="68" spans="4:18" ht="15" x14ac:dyDescent="0.2">
      <c r="D68" s="20">
        <v>6</v>
      </c>
      <c r="E68" s="39" t="s">
        <v>16</v>
      </c>
      <c r="F68" s="39">
        <f t="shared" si="36"/>
        <v>0.34799999999999998</v>
      </c>
      <c r="G68" s="39">
        <f t="shared" si="37"/>
        <v>0.34</v>
      </c>
      <c r="H68" s="39">
        <f t="shared" si="38"/>
        <v>0.47799999999999998</v>
      </c>
      <c r="I68" s="39">
        <f t="shared" si="39"/>
        <v>0.56200000000000006</v>
      </c>
      <c r="J68" s="39">
        <f t="shared" si="40"/>
        <v>0.23800000000000002</v>
      </c>
      <c r="K68" s="39">
        <f t="shared" si="41"/>
        <v>0.23</v>
      </c>
      <c r="L68" s="39">
        <f t="shared" si="42"/>
        <v>0</v>
      </c>
      <c r="M68" s="39">
        <f t="shared" si="43"/>
        <v>0</v>
      </c>
      <c r="N68" s="3">
        <v>1650</v>
      </c>
      <c r="O68" s="39">
        <f t="shared" si="32"/>
        <v>2.1090909090909089E-4</v>
      </c>
      <c r="P68" s="39">
        <f t="shared" si="33"/>
        <v>2.8969696969696968E-4</v>
      </c>
      <c r="Q68" s="39">
        <f t="shared" si="34"/>
        <v>1.4424242424242425E-4</v>
      </c>
      <c r="R68" s="39">
        <f t="shared" si="35"/>
        <v>0</v>
      </c>
    </row>
    <row r="69" spans="4:18" ht="15" x14ac:dyDescent="0.2">
      <c r="D69" s="20">
        <v>7</v>
      </c>
      <c r="E69" s="39" t="s">
        <v>119</v>
      </c>
      <c r="F69" s="39">
        <f t="shared" si="36"/>
        <v>15.08</v>
      </c>
      <c r="G69" s="39">
        <f t="shared" si="37"/>
        <v>16.28</v>
      </c>
      <c r="H69" s="39">
        <f t="shared" si="38"/>
        <v>20</v>
      </c>
      <c r="I69" s="39">
        <f t="shared" si="39"/>
        <v>19.72</v>
      </c>
      <c r="J69" s="39">
        <f t="shared" si="40"/>
        <v>5.26</v>
      </c>
      <c r="K69" s="39">
        <f t="shared" si="41"/>
        <v>5.68</v>
      </c>
      <c r="L69" s="39">
        <f t="shared" si="42"/>
        <v>1.258</v>
      </c>
      <c r="M69" s="39">
        <f t="shared" si="43"/>
        <v>1.22</v>
      </c>
      <c r="N69" s="3">
        <v>34</v>
      </c>
      <c r="O69" s="39">
        <f t="shared" si="32"/>
        <v>0.47882352941176476</v>
      </c>
      <c r="P69" s="39">
        <f t="shared" si="33"/>
        <v>0.58823529411764708</v>
      </c>
      <c r="Q69" s="39">
        <f t="shared" si="34"/>
        <v>0.16705882352941176</v>
      </c>
      <c r="R69" s="39">
        <f t="shared" si="35"/>
        <v>3.6999999999999998E-2</v>
      </c>
    </row>
    <row r="70" spans="4:18" ht="15" x14ac:dyDescent="0.2">
      <c r="D70" s="20">
        <v>8</v>
      </c>
      <c r="E70" s="39" t="s">
        <v>120</v>
      </c>
      <c r="F70" s="39">
        <f t="shared" si="36"/>
        <v>0</v>
      </c>
      <c r="G70" s="39">
        <f t="shared" si="37"/>
        <v>0</v>
      </c>
      <c r="H70" s="39">
        <f t="shared" si="38"/>
        <v>0</v>
      </c>
      <c r="I70" s="39">
        <f t="shared" si="39"/>
        <v>0</v>
      </c>
      <c r="J70" s="39">
        <f t="shared" si="40"/>
        <v>0</v>
      </c>
      <c r="K70" s="39">
        <f t="shared" si="41"/>
        <v>0</v>
      </c>
      <c r="L70" s="39">
        <f t="shared" si="42"/>
        <v>0</v>
      </c>
      <c r="M70" s="39">
        <f t="shared" si="43"/>
        <v>0</v>
      </c>
      <c r="N70" s="3">
        <v>11900</v>
      </c>
      <c r="O70" s="39">
        <f t="shared" si="32"/>
        <v>0</v>
      </c>
      <c r="P70" s="39">
        <f t="shared" si="33"/>
        <v>0</v>
      </c>
      <c r="Q70" s="39">
        <f t="shared" si="34"/>
        <v>0</v>
      </c>
      <c r="R70" s="39">
        <f t="shared" si="35"/>
        <v>0</v>
      </c>
    </row>
    <row r="71" spans="4:18" ht="15" x14ac:dyDescent="0.2">
      <c r="D71" s="20">
        <v>9</v>
      </c>
      <c r="E71" s="39" t="s">
        <v>11</v>
      </c>
      <c r="F71" s="39">
        <f t="shared" si="36"/>
        <v>0</v>
      </c>
      <c r="G71" s="39">
        <f t="shared" si="37"/>
        <v>0</v>
      </c>
      <c r="H71" s="39">
        <f t="shared" si="38"/>
        <v>0</v>
      </c>
      <c r="I71" s="39">
        <f t="shared" si="39"/>
        <v>0</v>
      </c>
      <c r="J71" s="39">
        <f t="shared" si="40"/>
        <v>0</v>
      </c>
      <c r="K71" s="39">
        <f t="shared" si="41"/>
        <v>0</v>
      </c>
      <c r="L71" s="39">
        <f t="shared" si="42"/>
        <v>0</v>
      </c>
      <c r="M71" s="39">
        <f t="shared" si="43"/>
        <v>0</v>
      </c>
      <c r="N71" s="3">
        <v>37</v>
      </c>
      <c r="O71" s="39">
        <f t="shared" si="32"/>
        <v>0</v>
      </c>
      <c r="P71" s="39">
        <f t="shared" si="33"/>
        <v>0</v>
      </c>
      <c r="Q71" s="39">
        <f t="shared" si="34"/>
        <v>0</v>
      </c>
      <c r="R71" s="39">
        <f t="shared" si="35"/>
        <v>0</v>
      </c>
    </row>
    <row r="72" spans="4:18" ht="15" x14ac:dyDescent="0.2">
      <c r="D72" s="20">
        <v>10</v>
      </c>
      <c r="E72" s="39" t="s">
        <v>121</v>
      </c>
      <c r="F72" s="39">
        <f t="shared" si="36"/>
        <v>5.7999999999999996E-2</v>
      </c>
      <c r="G72" s="39">
        <f t="shared" si="37"/>
        <v>4.8000000000000001E-2</v>
      </c>
      <c r="H72" s="39">
        <f t="shared" si="38"/>
        <v>7.0000000000000007E-2</v>
      </c>
      <c r="I72" s="39">
        <f t="shared" si="39"/>
        <v>7.2000000000000008E-2</v>
      </c>
      <c r="J72" s="39">
        <f t="shared" si="40"/>
        <v>2.2000000000000002E-2</v>
      </c>
      <c r="K72" s="39">
        <f t="shared" si="41"/>
        <v>0.02</v>
      </c>
      <c r="L72" s="39">
        <f t="shared" si="42"/>
        <v>0</v>
      </c>
      <c r="M72" s="39">
        <f t="shared" si="43"/>
        <v>0</v>
      </c>
      <c r="N72" s="3">
        <v>4.0999999999999996</v>
      </c>
      <c r="O72" s="39">
        <f t="shared" si="32"/>
        <v>1.4146341463414635E-2</v>
      </c>
      <c r="P72" s="39">
        <f t="shared" si="33"/>
        <v>1.7073170731707322E-2</v>
      </c>
      <c r="Q72" s="39">
        <f t="shared" si="34"/>
        <v>5.3658536585365867E-3</v>
      </c>
      <c r="R72" s="39">
        <f t="shared" si="35"/>
        <v>0</v>
      </c>
    </row>
    <row r="73" spans="4:18" ht="15" x14ac:dyDescent="0.2">
      <c r="D73" s="20">
        <v>11</v>
      </c>
      <c r="E73" s="39" t="s">
        <v>122</v>
      </c>
      <c r="F73" s="39">
        <f t="shared" si="36"/>
        <v>29.2</v>
      </c>
      <c r="G73" s="39">
        <f t="shared" si="37"/>
        <v>34.799999999999997</v>
      </c>
      <c r="H73" s="39">
        <f t="shared" si="38"/>
        <v>37.4</v>
      </c>
      <c r="I73" s="39">
        <f t="shared" si="39"/>
        <v>38.6</v>
      </c>
      <c r="J73" s="39">
        <f t="shared" si="40"/>
        <v>12.24</v>
      </c>
      <c r="K73" s="39">
        <f t="shared" si="41"/>
        <v>12.78</v>
      </c>
      <c r="L73" s="39">
        <f t="shared" si="42"/>
        <v>2.54</v>
      </c>
      <c r="M73" s="39">
        <f t="shared" si="43"/>
        <v>2.5</v>
      </c>
      <c r="N73" s="3">
        <v>14.4</v>
      </c>
      <c r="O73" s="39">
        <f t="shared" si="32"/>
        <v>2.4166666666666665</v>
      </c>
      <c r="P73" s="39">
        <f t="shared" si="33"/>
        <v>2.5972222222222219</v>
      </c>
      <c r="Q73" s="39">
        <f t="shared" si="34"/>
        <v>0.88749999999999996</v>
      </c>
      <c r="R73" s="39">
        <f t="shared" si="35"/>
        <v>0.1763888888888889</v>
      </c>
    </row>
    <row r="74" spans="4:18" ht="15" x14ac:dyDescent="0.2">
      <c r="D74" s="20">
        <v>12</v>
      </c>
      <c r="E74" s="39" t="s">
        <v>123</v>
      </c>
      <c r="F74" s="39">
        <f t="shared" si="36"/>
        <v>2.8799999999999999E-2</v>
      </c>
      <c r="G74" s="39">
        <f t="shared" si="37"/>
        <v>3.7400000000000003E-2</v>
      </c>
      <c r="H74" s="39">
        <f t="shared" si="38"/>
        <v>3.32E-2</v>
      </c>
      <c r="I74" s="39">
        <f t="shared" si="39"/>
        <v>4.0199999999999993E-2</v>
      </c>
      <c r="J74" s="39">
        <f t="shared" si="40"/>
        <v>0</v>
      </c>
      <c r="K74" s="39">
        <f t="shared" si="41"/>
        <v>0</v>
      </c>
      <c r="L74" s="39">
        <f t="shared" si="42"/>
        <v>0</v>
      </c>
      <c r="M74" s="39">
        <f t="shared" si="43"/>
        <v>0</v>
      </c>
      <c r="N74" s="3">
        <v>0.19</v>
      </c>
      <c r="O74" s="39">
        <f t="shared" si="32"/>
        <v>0.1968421052631579</v>
      </c>
      <c r="P74" s="39">
        <f t="shared" si="33"/>
        <v>0.1968421052631579</v>
      </c>
      <c r="Q74" s="39">
        <f t="shared" si="34"/>
        <v>0</v>
      </c>
      <c r="R74" s="39">
        <f t="shared" si="35"/>
        <v>0</v>
      </c>
    </row>
    <row r="75" spans="4:18" ht="15" x14ac:dyDescent="0.2">
      <c r="D75" s="20">
        <v>13</v>
      </c>
      <c r="E75" s="39" t="s">
        <v>124</v>
      </c>
      <c r="F75" s="39">
        <f t="shared" si="36"/>
        <v>0.26200000000000001</v>
      </c>
      <c r="G75" s="39">
        <f t="shared" si="37"/>
        <v>0.22800000000000001</v>
      </c>
      <c r="H75" s="39">
        <f t="shared" si="38"/>
        <v>0.36399999999999999</v>
      </c>
      <c r="I75" s="39">
        <f t="shared" si="39"/>
        <v>0.35399999999999998</v>
      </c>
      <c r="J75" s="39">
        <f t="shared" si="40"/>
        <v>9.6199999999999994E-2</v>
      </c>
      <c r="K75" s="39">
        <f t="shared" si="41"/>
        <v>0.11019999999999999</v>
      </c>
      <c r="L75" s="39">
        <f t="shared" si="42"/>
        <v>2.0199999999999999E-2</v>
      </c>
      <c r="M75" s="39">
        <f t="shared" si="43"/>
        <v>2.0199999999999999E-2</v>
      </c>
      <c r="N75" s="3">
        <v>6.5</v>
      </c>
      <c r="O75" s="39">
        <f t="shared" si="32"/>
        <v>4.0307692307692308E-2</v>
      </c>
      <c r="P75" s="39">
        <f t="shared" si="33"/>
        <v>5.6000000000000001E-2</v>
      </c>
      <c r="Q75" s="39">
        <f t="shared" si="34"/>
        <v>1.6953846153846153E-2</v>
      </c>
      <c r="R75" s="39">
        <f t="shared" si="35"/>
        <v>3.1076923076923074E-3</v>
      </c>
    </row>
    <row r="76" spans="4:18" ht="15" x14ac:dyDescent="0.2">
      <c r="D76" s="20">
        <v>14</v>
      </c>
      <c r="E76" s="39" t="s">
        <v>125</v>
      </c>
      <c r="F76" s="39">
        <f t="shared" si="36"/>
        <v>1.786</v>
      </c>
      <c r="G76" s="39">
        <f t="shared" si="37"/>
        <v>1.482</v>
      </c>
      <c r="H76" s="39">
        <f t="shared" si="38"/>
        <v>1.764</v>
      </c>
      <c r="I76" s="39">
        <f t="shared" si="39"/>
        <v>1.704</v>
      </c>
      <c r="J76" s="39">
        <f t="shared" si="40"/>
        <v>0.95</v>
      </c>
      <c r="K76" s="39">
        <f t="shared" si="41"/>
        <v>1.3980000000000001</v>
      </c>
      <c r="L76" s="39">
        <f t="shared" si="42"/>
        <v>0.29799999999999999</v>
      </c>
      <c r="M76" s="39">
        <f t="shared" si="43"/>
        <v>0.27399999999999997</v>
      </c>
      <c r="N76" s="3">
        <v>20</v>
      </c>
      <c r="O76" s="39">
        <f t="shared" si="32"/>
        <v>8.9300000000000004E-2</v>
      </c>
      <c r="P76" s="39">
        <f t="shared" si="33"/>
        <v>8.8200000000000001E-2</v>
      </c>
      <c r="Q76" s="39">
        <f t="shared" si="34"/>
        <v>6.9900000000000004E-2</v>
      </c>
      <c r="R76" s="39">
        <f t="shared" si="35"/>
        <v>1.49E-2</v>
      </c>
    </row>
    <row r="77" spans="4:18" ht="15" x14ac:dyDescent="0.2">
      <c r="D77" s="20">
        <v>15</v>
      </c>
      <c r="E77" s="39" t="s">
        <v>126</v>
      </c>
      <c r="F77" s="39">
        <f t="shared" si="36"/>
        <v>0.36</v>
      </c>
      <c r="G77" s="39">
        <f t="shared" si="37"/>
        <v>8.9600000000000013E-2</v>
      </c>
      <c r="H77" s="39">
        <f t="shared" si="38"/>
        <v>0.66599999999999993</v>
      </c>
      <c r="I77" s="39">
        <f t="shared" si="39"/>
        <v>0.52200000000000002</v>
      </c>
      <c r="J77" s="39">
        <f t="shared" si="40"/>
        <v>0</v>
      </c>
      <c r="K77" s="39">
        <f t="shared" si="41"/>
        <v>2.0199999999999999E-2</v>
      </c>
      <c r="L77" s="39">
        <f t="shared" si="42"/>
        <v>0</v>
      </c>
      <c r="M77" s="39">
        <f t="shared" si="43"/>
        <v>0</v>
      </c>
      <c r="N77" s="3">
        <v>2.4</v>
      </c>
      <c r="O77" s="39">
        <f t="shared" si="32"/>
        <v>0.15</v>
      </c>
      <c r="P77" s="39">
        <f t="shared" si="33"/>
        <v>0.27749999999999997</v>
      </c>
      <c r="Q77" s="39">
        <f t="shared" si="34"/>
        <v>8.416666666666666E-3</v>
      </c>
      <c r="R77" s="39">
        <f t="shared" si="35"/>
        <v>0</v>
      </c>
    </row>
    <row r="78" spans="4:18" ht="15" x14ac:dyDescent="0.2">
      <c r="D78" s="20">
        <v>16</v>
      </c>
      <c r="E78" s="39" t="s">
        <v>127</v>
      </c>
      <c r="F78" s="39">
        <f t="shared" si="36"/>
        <v>8.9399999999999993E-2</v>
      </c>
      <c r="G78" s="39">
        <f t="shared" si="37"/>
        <v>8.7400000000000005E-2</v>
      </c>
      <c r="H78" s="39">
        <f t="shared" si="38"/>
        <v>0.12640000000000001</v>
      </c>
      <c r="I78" s="39">
        <f t="shared" si="39"/>
        <v>0.1176</v>
      </c>
      <c r="J78" s="39">
        <f t="shared" si="40"/>
        <v>4.2599999999999999E-2</v>
      </c>
      <c r="K78" s="39">
        <f t="shared" si="41"/>
        <v>4.5999999999999999E-2</v>
      </c>
      <c r="L78" s="39">
        <f t="shared" si="42"/>
        <v>0</v>
      </c>
      <c r="M78" s="39">
        <f t="shared" si="43"/>
        <v>0</v>
      </c>
      <c r="N78" s="3">
        <v>5.6</v>
      </c>
      <c r="O78" s="39">
        <f t="shared" si="32"/>
        <v>1.5964285714285716E-2</v>
      </c>
      <c r="P78" s="39">
        <f t="shared" si="33"/>
        <v>2.2571428571428576E-2</v>
      </c>
      <c r="Q78" s="39">
        <f t="shared" si="34"/>
        <v>8.2142857142857139E-3</v>
      </c>
      <c r="R78" s="39">
        <f t="shared" si="35"/>
        <v>0</v>
      </c>
    </row>
    <row r="79" spans="4:18" ht="15" x14ac:dyDescent="0.2">
      <c r="D79" s="20">
        <v>17</v>
      </c>
      <c r="E79" s="39" t="s">
        <v>1</v>
      </c>
      <c r="F79" s="39">
        <f t="shared" si="36"/>
        <v>0</v>
      </c>
      <c r="G79" s="39">
        <f t="shared" si="37"/>
        <v>0</v>
      </c>
      <c r="H79" s="39">
        <f t="shared" si="38"/>
        <v>0</v>
      </c>
      <c r="I79" s="39">
        <f t="shared" si="39"/>
        <v>0</v>
      </c>
      <c r="J79" s="39">
        <f t="shared" si="40"/>
        <v>0</v>
      </c>
      <c r="K79" s="39">
        <f t="shared" si="41"/>
        <v>0</v>
      </c>
      <c r="L79" s="39">
        <f t="shared" si="42"/>
        <v>0</v>
      </c>
      <c r="M79" s="39">
        <f t="shared" si="43"/>
        <v>0</v>
      </c>
      <c r="N79" s="3">
        <v>28</v>
      </c>
      <c r="O79" s="39">
        <f t="shared" si="32"/>
        <v>0</v>
      </c>
      <c r="P79" s="39">
        <f t="shared" si="33"/>
        <v>0</v>
      </c>
      <c r="Q79" s="39">
        <f t="shared" si="34"/>
        <v>0</v>
      </c>
      <c r="R79" s="39">
        <f t="shared" si="35"/>
        <v>0</v>
      </c>
    </row>
    <row r="80" spans="4:18" ht="15" x14ac:dyDescent="0.2">
      <c r="D80" s="20">
        <v>18</v>
      </c>
      <c r="E80" s="39" t="s">
        <v>0</v>
      </c>
      <c r="F80" s="39">
        <f t="shared" si="36"/>
        <v>492.726</v>
      </c>
      <c r="G80" s="39">
        <f t="shared" si="37"/>
        <v>0</v>
      </c>
      <c r="H80" s="39">
        <f t="shared" si="38"/>
        <v>0</v>
      </c>
      <c r="I80" s="39">
        <f t="shared" si="39"/>
        <v>0</v>
      </c>
      <c r="J80" s="39">
        <f t="shared" si="40"/>
        <v>0</v>
      </c>
      <c r="K80" s="39">
        <f t="shared" si="41"/>
        <v>0</v>
      </c>
      <c r="L80" s="39">
        <f t="shared" si="42"/>
        <v>0</v>
      </c>
      <c r="M80" s="39">
        <f t="shared" si="43"/>
        <v>0</v>
      </c>
      <c r="N80" s="3">
        <v>170</v>
      </c>
      <c r="O80" s="39">
        <f t="shared" si="32"/>
        <v>2.8983882352941177</v>
      </c>
      <c r="P80" s="39">
        <f t="shared" si="33"/>
        <v>0</v>
      </c>
      <c r="Q80" s="39">
        <f t="shared" si="34"/>
        <v>0</v>
      </c>
      <c r="R80" s="39">
        <f t="shared" si="35"/>
        <v>0</v>
      </c>
    </row>
    <row r="81" spans="5:18" ht="16" x14ac:dyDescent="0.2">
      <c r="E81" s="95" t="s">
        <v>99</v>
      </c>
      <c r="F81" s="97" t="s">
        <v>128</v>
      </c>
      <c r="G81" s="98"/>
      <c r="H81" s="98"/>
      <c r="I81" s="98"/>
      <c r="J81" s="98"/>
      <c r="K81" s="98"/>
      <c r="L81" s="98"/>
      <c r="M81" s="99"/>
      <c r="N81" s="59" t="s">
        <v>104</v>
      </c>
      <c r="O81" s="47" t="s">
        <v>105</v>
      </c>
      <c r="P81" s="48" t="s">
        <v>106</v>
      </c>
      <c r="Q81" s="48" t="s">
        <v>107</v>
      </c>
      <c r="R81" s="49" t="s">
        <v>108</v>
      </c>
    </row>
    <row r="82" spans="5:18" ht="15" x14ac:dyDescent="0.2">
      <c r="E82" s="96"/>
      <c r="F82" s="50">
        <v>60</v>
      </c>
      <c r="G82" s="51">
        <v>60</v>
      </c>
      <c r="H82" s="51">
        <v>60</v>
      </c>
      <c r="I82" s="51">
        <v>60</v>
      </c>
      <c r="J82" s="51">
        <v>60</v>
      </c>
      <c r="K82" s="51">
        <v>60</v>
      </c>
      <c r="L82" s="51">
        <v>60</v>
      </c>
      <c r="M82" s="52">
        <v>60</v>
      </c>
      <c r="N82" s="60" t="s">
        <v>113</v>
      </c>
      <c r="O82" s="47" t="s">
        <v>27</v>
      </c>
      <c r="P82" s="48" t="s">
        <v>27</v>
      </c>
      <c r="Q82" s="48" t="s">
        <v>27</v>
      </c>
      <c r="R82" s="49" t="s">
        <v>27</v>
      </c>
    </row>
    <row r="83" spans="5:18" ht="15" x14ac:dyDescent="0.2">
      <c r="E83" s="39" t="s">
        <v>114</v>
      </c>
      <c r="F83" s="39">
        <f t="shared" ref="F83:M98" si="44">F3/60</f>
        <v>1.8166666666666667E-4</v>
      </c>
      <c r="G83" s="39">
        <f t="shared" si="44"/>
        <v>9.1666666666666668E-5</v>
      </c>
      <c r="H83" s="39">
        <f t="shared" si="44"/>
        <v>1.7666666666666666E-4</v>
      </c>
      <c r="I83" s="39">
        <f t="shared" si="44"/>
        <v>1.8166666666666667E-4</v>
      </c>
      <c r="J83" s="39">
        <f t="shared" si="44"/>
        <v>1.0166666666666667E-4</v>
      </c>
      <c r="K83" s="39">
        <f t="shared" si="44"/>
        <v>0</v>
      </c>
      <c r="L83" s="39">
        <f t="shared" si="44"/>
        <v>0</v>
      </c>
      <c r="M83" s="39">
        <f>M3/60</f>
        <v>0</v>
      </c>
      <c r="N83" s="7">
        <v>5.7000000000000002E-2</v>
      </c>
      <c r="O83" s="39">
        <f>MAX(F83:G83)/N83</f>
        <v>3.1871345029239767E-3</v>
      </c>
      <c r="P83" s="39">
        <f>MAX(G83:H83)/N83</f>
        <v>3.0994152046783623E-3</v>
      </c>
      <c r="Q83" s="39">
        <f>MAX(J83:K83)/N83</f>
        <v>1.783625730994152E-3</v>
      </c>
      <c r="R83" s="39">
        <f>MAX(L83:M83)/N83</f>
        <v>0</v>
      </c>
    </row>
    <row r="84" spans="5:18" ht="15" x14ac:dyDescent="0.2">
      <c r="E84" s="39" t="s">
        <v>115</v>
      </c>
      <c r="F84" s="39">
        <f t="shared" si="44"/>
        <v>1.7333333333333334</v>
      </c>
      <c r="G84" s="39">
        <f t="shared" si="44"/>
        <v>1.4433333333333331</v>
      </c>
      <c r="H84" s="39">
        <f t="shared" si="44"/>
        <v>1.9333333333333333</v>
      </c>
      <c r="I84" s="39">
        <f t="shared" si="44"/>
        <v>1.9333333333333333</v>
      </c>
      <c r="J84" s="39">
        <f t="shared" si="44"/>
        <v>0.12400000000000001</v>
      </c>
      <c r="K84" s="39">
        <f t="shared" si="44"/>
        <v>0.20833333333333334</v>
      </c>
      <c r="L84" s="39">
        <f t="shared" si="44"/>
        <v>3.5000000000000003E-2</v>
      </c>
      <c r="M84" s="39">
        <f>M4/60</f>
        <v>3.2666666666666663E-2</v>
      </c>
      <c r="N84" s="7">
        <v>114.7</v>
      </c>
      <c r="O84" s="39">
        <f t="shared" ref="O84:O100" si="45">MAX(F84:G84)/N84</f>
        <v>1.5111886079628016E-2</v>
      </c>
      <c r="P84" s="39">
        <f t="shared" ref="P84:P100" si="46">MAX(G84:H84)/N84</f>
        <v>1.6855565242662015E-2</v>
      </c>
      <c r="Q84" s="39">
        <f t="shared" ref="Q84:Q100" si="47">MAX(J84:K84)/N84</f>
        <v>1.8163324614937518E-3</v>
      </c>
      <c r="R84" s="39">
        <f t="shared" ref="R84:R100" si="48">MAX(L84:M84)/N84</f>
        <v>3.0514385353095031E-4</v>
      </c>
    </row>
    <row r="85" spans="5:18" ht="15" x14ac:dyDescent="0.2">
      <c r="E85" s="39" t="s">
        <v>116</v>
      </c>
      <c r="F85" s="39">
        <f t="shared" si="44"/>
        <v>2.3666666666666667</v>
      </c>
      <c r="G85" s="39">
        <f t="shared" si="44"/>
        <v>2.2333333333333334</v>
      </c>
      <c r="H85" s="39">
        <f t="shared" si="44"/>
        <v>4.2</v>
      </c>
      <c r="I85" s="39">
        <f t="shared" si="44"/>
        <v>3.7</v>
      </c>
      <c r="J85" s="39">
        <f t="shared" si="44"/>
        <v>2.3166666666666669</v>
      </c>
      <c r="K85" s="39">
        <f t="shared" si="44"/>
        <v>2.3166666666666669</v>
      </c>
      <c r="L85" s="39">
        <f t="shared" si="44"/>
        <v>1</v>
      </c>
      <c r="M85" s="39">
        <f t="shared" si="44"/>
        <v>0.9</v>
      </c>
      <c r="N85" s="6">
        <v>2900</v>
      </c>
      <c r="O85" s="39">
        <f t="shared" si="45"/>
        <v>8.1609195402298856E-4</v>
      </c>
      <c r="P85" s="39">
        <f t="shared" si="46"/>
        <v>1.4482758620689656E-3</v>
      </c>
      <c r="Q85" s="39">
        <f t="shared" si="47"/>
        <v>7.9885057471264372E-4</v>
      </c>
      <c r="R85" s="39">
        <f t="shared" si="48"/>
        <v>3.4482758620689653E-4</v>
      </c>
    </row>
    <row r="86" spans="5:18" ht="15" x14ac:dyDescent="0.2">
      <c r="E86" s="39" t="s">
        <v>117</v>
      </c>
      <c r="F86" s="39">
        <f t="shared" si="44"/>
        <v>0.37</v>
      </c>
      <c r="G86" s="39">
        <f t="shared" si="44"/>
        <v>0.33500000000000002</v>
      </c>
      <c r="H86" s="39">
        <f t="shared" si="44"/>
        <v>0.32500000000000001</v>
      </c>
      <c r="I86" s="39">
        <f t="shared" si="44"/>
        <v>0.29666666666666669</v>
      </c>
      <c r="J86" s="39">
        <f t="shared" si="44"/>
        <v>4.4000000000000004E-2</v>
      </c>
      <c r="K86" s="39">
        <f t="shared" si="44"/>
        <v>6.1499999999999999E-2</v>
      </c>
      <c r="L86" s="39">
        <f t="shared" si="44"/>
        <v>0</v>
      </c>
      <c r="M86" s="39">
        <f t="shared" si="44"/>
        <v>0</v>
      </c>
      <c r="N86" s="3">
        <v>1.06</v>
      </c>
      <c r="O86" s="39">
        <f t="shared" si="45"/>
        <v>0.34905660377358488</v>
      </c>
      <c r="P86" s="39">
        <f t="shared" si="46"/>
        <v>0.31603773584905659</v>
      </c>
      <c r="Q86" s="39">
        <f t="shared" si="47"/>
        <v>5.8018867924528296E-2</v>
      </c>
      <c r="R86" s="39">
        <f t="shared" si="48"/>
        <v>0</v>
      </c>
    </row>
    <row r="87" spans="5:18" ht="15" x14ac:dyDescent="0.2">
      <c r="E87" s="39" t="s">
        <v>118</v>
      </c>
      <c r="F87" s="39">
        <f t="shared" si="44"/>
        <v>5.3166666666666664</v>
      </c>
      <c r="G87" s="39">
        <f t="shared" si="44"/>
        <v>3.9333333333333331</v>
      </c>
      <c r="H87" s="39">
        <f t="shared" si="44"/>
        <v>2.4166666666666665</v>
      </c>
      <c r="I87" s="39">
        <f t="shared" si="44"/>
        <v>2.3666666666666667</v>
      </c>
      <c r="J87" s="39">
        <f t="shared" si="44"/>
        <v>0.36666666666666664</v>
      </c>
      <c r="K87" s="39">
        <f t="shared" si="44"/>
        <v>0.27500000000000002</v>
      </c>
      <c r="L87" s="39">
        <f t="shared" si="44"/>
        <v>0</v>
      </c>
      <c r="M87" s="39">
        <f t="shared" si="44"/>
        <v>0</v>
      </c>
      <c r="N87" s="3">
        <v>6.3</v>
      </c>
      <c r="O87" s="39">
        <f t="shared" si="45"/>
        <v>0.84391534391534395</v>
      </c>
      <c r="P87" s="39">
        <f t="shared" si="46"/>
        <v>0.6243386243386243</v>
      </c>
      <c r="Q87" s="39">
        <f t="shared" si="47"/>
        <v>5.8201058201058198E-2</v>
      </c>
      <c r="R87" s="39">
        <f t="shared" si="48"/>
        <v>0</v>
      </c>
    </row>
    <row r="88" spans="5:18" ht="15" x14ac:dyDescent="0.2">
      <c r="E88" s="39" t="s">
        <v>16</v>
      </c>
      <c r="F88" s="39">
        <f t="shared" si="44"/>
        <v>0.28999999999999998</v>
      </c>
      <c r="G88" s="39">
        <f t="shared" si="44"/>
        <v>0.28333333333333333</v>
      </c>
      <c r="H88" s="39">
        <f t="shared" si="44"/>
        <v>0.39833333333333332</v>
      </c>
      <c r="I88" s="39">
        <f t="shared" si="44"/>
        <v>0.46833333333333338</v>
      </c>
      <c r="J88" s="39">
        <f t="shared" si="44"/>
        <v>0.19833333333333333</v>
      </c>
      <c r="K88" s="39">
        <f t="shared" si="44"/>
        <v>0.19166666666666668</v>
      </c>
      <c r="L88" s="39">
        <f t="shared" si="44"/>
        <v>0</v>
      </c>
      <c r="M88" s="39">
        <f t="shared" si="44"/>
        <v>0</v>
      </c>
      <c r="N88" s="3">
        <v>1650</v>
      </c>
      <c r="O88" s="39">
        <f t="shared" si="45"/>
        <v>1.7575757575757575E-4</v>
      </c>
      <c r="P88" s="39">
        <f t="shared" si="46"/>
        <v>2.414141414141414E-4</v>
      </c>
      <c r="Q88" s="39">
        <f t="shared" si="47"/>
        <v>1.202020202020202E-4</v>
      </c>
      <c r="R88" s="39">
        <f t="shared" si="48"/>
        <v>0</v>
      </c>
    </row>
    <row r="89" spans="5:18" ht="15" x14ac:dyDescent="0.2">
      <c r="E89" s="39" t="s">
        <v>119</v>
      </c>
      <c r="F89" s="39">
        <f t="shared" si="44"/>
        <v>12.566666666666666</v>
      </c>
      <c r="G89" s="39">
        <f t="shared" si="44"/>
        <v>13.566666666666666</v>
      </c>
      <c r="H89" s="39">
        <f t="shared" si="44"/>
        <v>16.666666666666668</v>
      </c>
      <c r="I89" s="39">
        <f t="shared" si="44"/>
        <v>16.433333333333334</v>
      </c>
      <c r="J89" s="39">
        <f t="shared" si="44"/>
        <v>4.3833333333333337</v>
      </c>
      <c r="K89" s="39">
        <f t="shared" si="44"/>
        <v>4.7333333333333334</v>
      </c>
      <c r="L89" s="39">
        <f t="shared" si="44"/>
        <v>1.0483333333333333</v>
      </c>
      <c r="M89" s="39">
        <f t="shared" si="44"/>
        <v>1.0166666666666666</v>
      </c>
      <c r="N89" s="3">
        <v>34</v>
      </c>
      <c r="O89" s="39">
        <f t="shared" si="45"/>
        <v>0.39901960784313723</v>
      </c>
      <c r="P89" s="39">
        <f t="shared" si="46"/>
        <v>0.49019607843137258</v>
      </c>
      <c r="Q89" s="39">
        <f t="shared" si="47"/>
        <v>0.13921568627450981</v>
      </c>
      <c r="R89" s="39">
        <f t="shared" si="48"/>
        <v>3.0833333333333334E-2</v>
      </c>
    </row>
    <row r="90" spans="5:18" ht="15" x14ac:dyDescent="0.2">
      <c r="E90" s="39" t="s">
        <v>120</v>
      </c>
      <c r="F90" s="39">
        <f t="shared" si="44"/>
        <v>0</v>
      </c>
      <c r="G90" s="39">
        <f t="shared" si="44"/>
        <v>0</v>
      </c>
      <c r="H90" s="39">
        <f t="shared" si="44"/>
        <v>0</v>
      </c>
      <c r="I90" s="39">
        <f t="shared" si="44"/>
        <v>0</v>
      </c>
      <c r="J90" s="39">
        <f t="shared" si="44"/>
        <v>0</v>
      </c>
      <c r="K90" s="39">
        <f t="shared" si="44"/>
        <v>0</v>
      </c>
      <c r="L90" s="39">
        <f t="shared" si="44"/>
        <v>0</v>
      </c>
      <c r="M90" s="39">
        <f t="shared" si="44"/>
        <v>0</v>
      </c>
      <c r="N90" s="3">
        <v>11900</v>
      </c>
      <c r="O90" s="39">
        <f t="shared" si="45"/>
        <v>0</v>
      </c>
      <c r="P90" s="39">
        <f t="shared" si="46"/>
        <v>0</v>
      </c>
      <c r="Q90" s="39">
        <f t="shared" si="47"/>
        <v>0</v>
      </c>
      <c r="R90" s="39">
        <f t="shared" si="48"/>
        <v>0</v>
      </c>
    </row>
    <row r="91" spans="5:18" ht="15" x14ac:dyDescent="0.2">
      <c r="E91" s="39" t="s">
        <v>11</v>
      </c>
      <c r="F91" s="39">
        <f t="shared" si="44"/>
        <v>0</v>
      </c>
      <c r="G91" s="39">
        <f t="shared" si="44"/>
        <v>0</v>
      </c>
      <c r="H91" s="39">
        <f t="shared" si="44"/>
        <v>0</v>
      </c>
      <c r="I91" s="39">
        <f t="shared" si="44"/>
        <v>0</v>
      </c>
      <c r="J91" s="39">
        <f t="shared" si="44"/>
        <v>0</v>
      </c>
      <c r="K91" s="39">
        <f t="shared" si="44"/>
        <v>0</v>
      </c>
      <c r="L91" s="39">
        <f t="shared" si="44"/>
        <v>0</v>
      </c>
      <c r="M91" s="39">
        <f t="shared" si="44"/>
        <v>0</v>
      </c>
      <c r="N91" s="3">
        <v>37</v>
      </c>
      <c r="O91" s="39">
        <f t="shared" si="45"/>
        <v>0</v>
      </c>
      <c r="P91" s="39">
        <f t="shared" si="46"/>
        <v>0</v>
      </c>
      <c r="Q91" s="39">
        <f t="shared" si="47"/>
        <v>0</v>
      </c>
      <c r="R91" s="39">
        <f t="shared" si="48"/>
        <v>0</v>
      </c>
    </row>
    <row r="92" spans="5:18" ht="15" x14ac:dyDescent="0.2">
      <c r="E92" s="39" t="s">
        <v>121</v>
      </c>
      <c r="F92" s="39">
        <f t="shared" si="44"/>
        <v>4.8333333333333332E-2</v>
      </c>
      <c r="G92" s="39">
        <f t="shared" si="44"/>
        <v>0.04</v>
      </c>
      <c r="H92" s="39">
        <f t="shared" si="44"/>
        <v>5.8333333333333334E-2</v>
      </c>
      <c r="I92" s="39">
        <f t="shared" si="44"/>
        <v>6.0000000000000005E-2</v>
      </c>
      <c r="J92" s="39">
        <f t="shared" si="44"/>
        <v>1.8333333333333333E-2</v>
      </c>
      <c r="K92" s="39">
        <f t="shared" si="44"/>
        <v>1.6666666666666666E-2</v>
      </c>
      <c r="L92" s="39">
        <f t="shared" si="44"/>
        <v>0</v>
      </c>
      <c r="M92" s="39">
        <f t="shared" si="44"/>
        <v>0</v>
      </c>
      <c r="N92" s="3">
        <v>4.0999999999999996</v>
      </c>
      <c r="O92" s="39">
        <f t="shared" si="45"/>
        <v>1.1788617886178862E-2</v>
      </c>
      <c r="P92" s="39">
        <f t="shared" si="46"/>
        <v>1.4227642276422765E-2</v>
      </c>
      <c r="Q92" s="39">
        <f t="shared" si="47"/>
        <v>4.4715447154471547E-3</v>
      </c>
      <c r="R92" s="39">
        <f t="shared" si="48"/>
        <v>0</v>
      </c>
    </row>
    <row r="93" spans="5:18" ht="15" x14ac:dyDescent="0.2">
      <c r="E93" s="39" t="s">
        <v>122</v>
      </c>
      <c r="F93" s="39">
        <f t="shared" si="44"/>
        <v>24.333333333333332</v>
      </c>
      <c r="G93" s="39">
        <f t="shared" si="44"/>
        <v>29</v>
      </c>
      <c r="H93" s="39">
        <f t="shared" si="44"/>
        <v>31.166666666666668</v>
      </c>
      <c r="I93" s="39">
        <f t="shared" si="44"/>
        <v>32.166666666666664</v>
      </c>
      <c r="J93" s="39">
        <f t="shared" si="44"/>
        <v>10.199999999999999</v>
      </c>
      <c r="K93" s="39">
        <f t="shared" si="44"/>
        <v>10.65</v>
      </c>
      <c r="L93" s="39">
        <f t="shared" si="44"/>
        <v>2.1166666666666667</v>
      </c>
      <c r="M93" s="39">
        <f t="shared" si="44"/>
        <v>2.0833333333333335</v>
      </c>
      <c r="N93" s="3">
        <v>14.4</v>
      </c>
      <c r="O93" s="39">
        <f t="shared" si="45"/>
        <v>2.0138888888888888</v>
      </c>
      <c r="P93" s="39">
        <f t="shared" si="46"/>
        <v>2.1643518518518521</v>
      </c>
      <c r="Q93" s="39">
        <f t="shared" si="47"/>
        <v>0.73958333333333337</v>
      </c>
      <c r="R93" s="39">
        <f t="shared" si="48"/>
        <v>0.14699074074074073</v>
      </c>
    </row>
    <row r="94" spans="5:18" ht="15" x14ac:dyDescent="0.2">
      <c r="E94" s="39" t="s">
        <v>123</v>
      </c>
      <c r="F94" s="39">
        <f t="shared" si="44"/>
        <v>2.4E-2</v>
      </c>
      <c r="G94" s="39">
        <f t="shared" si="44"/>
        <v>3.1166666666666669E-2</v>
      </c>
      <c r="H94" s="39">
        <f t="shared" si="44"/>
        <v>2.7666666666666666E-2</v>
      </c>
      <c r="I94" s="39">
        <f t="shared" si="44"/>
        <v>3.3499999999999995E-2</v>
      </c>
      <c r="J94" s="39">
        <f t="shared" si="44"/>
        <v>0</v>
      </c>
      <c r="K94" s="39">
        <f t="shared" si="44"/>
        <v>0</v>
      </c>
      <c r="L94" s="39">
        <f t="shared" si="44"/>
        <v>0</v>
      </c>
      <c r="M94" s="39">
        <f t="shared" si="44"/>
        <v>0</v>
      </c>
      <c r="N94" s="3">
        <v>0.19</v>
      </c>
      <c r="O94" s="39">
        <f t="shared" si="45"/>
        <v>0.16403508771929826</v>
      </c>
      <c r="P94" s="39">
        <f t="shared" si="46"/>
        <v>0.16403508771929826</v>
      </c>
      <c r="Q94" s="39">
        <f t="shared" si="47"/>
        <v>0</v>
      </c>
      <c r="R94" s="39">
        <f t="shared" si="48"/>
        <v>0</v>
      </c>
    </row>
    <row r="95" spans="5:18" ht="15" x14ac:dyDescent="0.2">
      <c r="E95" s="39" t="s">
        <v>124</v>
      </c>
      <c r="F95" s="39">
        <f t="shared" si="44"/>
        <v>0.21833333333333332</v>
      </c>
      <c r="G95" s="39">
        <f t="shared" si="44"/>
        <v>0.19</v>
      </c>
      <c r="H95" s="39">
        <f t="shared" si="44"/>
        <v>0.30333333333333334</v>
      </c>
      <c r="I95" s="39">
        <f t="shared" si="44"/>
        <v>0.29499999999999998</v>
      </c>
      <c r="J95" s="39">
        <f t="shared" si="44"/>
        <v>8.0166666666666664E-2</v>
      </c>
      <c r="K95" s="39">
        <f t="shared" si="44"/>
        <v>9.1833333333333336E-2</v>
      </c>
      <c r="L95" s="39">
        <f t="shared" si="44"/>
        <v>1.6833333333333332E-2</v>
      </c>
      <c r="M95" s="39">
        <f t="shared" si="44"/>
        <v>1.6833333333333332E-2</v>
      </c>
      <c r="N95" s="3">
        <v>6.5</v>
      </c>
      <c r="O95" s="39">
        <f t="shared" si="45"/>
        <v>3.3589743589743586E-2</v>
      </c>
      <c r="P95" s="39">
        <f t="shared" si="46"/>
        <v>4.6666666666666669E-2</v>
      </c>
      <c r="Q95" s="39">
        <f t="shared" si="47"/>
        <v>1.4128205128205128E-2</v>
      </c>
      <c r="R95" s="39">
        <f t="shared" si="48"/>
        <v>2.5897435897435897E-3</v>
      </c>
    </row>
    <row r="96" spans="5:18" ht="15" x14ac:dyDescent="0.2">
      <c r="E96" s="39" t="s">
        <v>125</v>
      </c>
      <c r="F96" s="39">
        <f t="shared" si="44"/>
        <v>1.4883333333333333</v>
      </c>
      <c r="G96" s="39">
        <f t="shared" si="44"/>
        <v>1.2349999999999999</v>
      </c>
      <c r="H96" s="39">
        <f t="shared" si="44"/>
        <v>1.47</v>
      </c>
      <c r="I96" s="39">
        <f t="shared" si="44"/>
        <v>1.4200000000000002</v>
      </c>
      <c r="J96" s="39">
        <f t="shared" si="44"/>
        <v>0.79166666666666663</v>
      </c>
      <c r="K96" s="39">
        <f t="shared" si="44"/>
        <v>1.165</v>
      </c>
      <c r="L96" s="39">
        <f t="shared" si="44"/>
        <v>0.24833333333333335</v>
      </c>
      <c r="M96" s="39">
        <f t="shared" si="44"/>
        <v>0.22833333333333333</v>
      </c>
      <c r="N96" s="3">
        <v>20</v>
      </c>
      <c r="O96" s="39">
        <f t="shared" si="45"/>
        <v>7.4416666666666659E-2</v>
      </c>
      <c r="P96" s="39">
        <f t="shared" si="46"/>
        <v>7.3499999999999996E-2</v>
      </c>
      <c r="Q96" s="39">
        <f t="shared" si="47"/>
        <v>5.8250000000000003E-2</v>
      </c>
      <c r="R96" s="39">
        <f t="shared" si="48"/>
        <v>1.2416666666666668E-2</v>
      </c>
    </row>
    <row r="97" spans="5:18" ht="15" x14ac:dyDescent="0.2">
      <c r="E97" s="39" t="s">
        <v>126</v>
      </c>
      <c r="F97" s="39">
        <f t="shared" si="44"/>
        <v>0.3</v>
      </c>
      <c r="G97" s="39">
        <f t="shared" si="44"/>
        <v>7.4666666666666673E-2</v>
      </c>
      <c r="H97" s="39">
        <f t="shared" si="44"/>
        <v>0.55499999999999994</v>
      </c>
      <c r="I97" s="39">
        <f t="shared" si="44"/>
        <v>0.435</v>
      </c>
      <c r="J97" s="39">
        <f t="shared" si="44"/>
        <v>0</v>
      </c>
      <c r="K97" s="39">
        <f t="shared" si="44"/>
        <v>1.6833333333333332E-2</v>
      </c>
      <c r="L97" s="39">
        <f t="shared" si="44"/>
        <v>0</v>
      </c>
      <c r="M97" s="39">
        <f t="shared" si="44"/>
        <v>0</v>
      </c>
      <c r="N97" s="3">
        <v>2.4</v>
      </c>
      <c r="O97" s="39">
        <f t="shared" si="45"/>
        <v>0.125</v>
      </c>
      <c r="P97" s="39">
        <f t="shared" si="46"/>
        <v>0.23124999999999998</v>
      </c>
      <c r="Q97" s="39">
        <f t="shared" si="47"/>
        <v>7.013888888888889E-3</v>
      </c>
      <c r="R97" s="39">
        <f t="shared" si="48"/>
        <v>0</v>
      </c>
    </row>
    <row r="98" spans="5:18" ht="15" x14ac:dyDescent="0.2">
      <c r="E98" s="39" t="s">
        <v>127</v>
      </c>
      <c r="F98" s="39">
        <f t="shared" si="44"/>
        <v>7.4499999999999997E-2</v>
      </c>
      <c r="G98" s="39">
        <f t="shared" si="44"/>
        <v>7.2833333333333333E-2</v>
      </c>
      <c r="H98" s="39">
        <f t="shared" si="44"/>
        <v>0.10533333333333333</v>
      </c>
      <c r="I98" s="39">
        <f t="shared" si="44"/>
        <v>9.8000000000000004E-2</v>
      </c>
      <c r="J98" s="39">
        <f t="shared" si="44"/>
        <v>3.5499999999999997E-2</v>
      </c>
      <c r="K98" s="39">
        <f t="shared" si="44"/>
        <v>3.833333333333333E-2</v>
      </c>
      <c r="L98" s="39">
        <f t="shared" si="44"/>
        <v>0</v>
      </c>
      <c r="M98" s="39">
        <f t="shared" si="44"/>
        <v>0</v>
      </c>
      <c r="N98" s="3">
        <v>5.6</v>
      </c>
      <c r="O98" s="39">
        <f t="shared" si="45"/>
        <v>1.3303571428571428E-2</v>
      </c>
      <c r="P98" s="39">
        <f t="shared" si="46"/>
        <v>1.8809523809523811E-2</v>
      </c>
      <c r="Q98" s="39">
        <f t="shared" si="47"/>
        <v>6.8452380952380952E-3</v>
      </c>
      <c r="R98" s="39">
        <f t="shared" si="48"/>
        <v>0</v>
      </c>
    </row>
    <row r="99" spans="5:18" ht="15" x14ac:dyDescent="0.2">
      <c r="E99" s="39" t="s">
        <v>1</v>
      </c>
      <c r="F99" s="39">
        <f t="shared" ref="F99:M100" si="49">F19/60</f>
        <v>0</v>
      </c>
      <c r="G99" s="39">
        <f t="shared" si="49"/>
        <v>0</v>
      </c>
      <c r="H99" s="39">
        <f t="shared" si="49"/>
        <v>0</v>
      </c>
      <c r="I99" s="39">
        <f t="shared" si="49"/>
        <v>0</v>
      </c>
      <c r="J99" s="39">
        <f t="shared" si="49"/>
        <v>0</v>
      </c>
      <c r="K99" s="39">
        <f t="shared" si="49"/>
        <v>0</v>
      </c>
      <c r="L99" s="39">
        <f t="shared" si="49"/>
        <v>0</v>
      </c>
      <c r="M99" s="39">
        <f t="shared" si="49"/>
        <v>0</v>
      </c>
      <c r="N99" s="3">
        <v>28</v>
      </c>
      <c r="O99" s="39">
        <f t="shared" si="45"/>
        <v>0</v>
      </c>
      <c r="P99" s="39">
        <f t="shared" si="46"/>
        <v>0</v>
      </c>
      <c r="Q99" s="39">
        <f t="shared" si="47"/>
        <v>0</v>
      </c>
      <c r="R99" s="39">
        <f t="shared" si="48"/>
        <v>0</v>
      </c>
    </row>
    <row r="100" spans="5:18" ht="15" x14ac:dyDescent="0.2">
      <c r="E100" s="39" t="s">
        <v>0</v>
      </c>
      <c r="F100" s="39">
        <f t="shared" si="49"/>
        <v>410.60499999999996</v>
      </c>
      <c r="G100" s="39">
        <f t="shared" si="49"/>
        <v>0</v>
      </c>
      <c r="H100" s="39">
        <f t="shared" si="49"/>
        <v>0</v>
      </c>
      <c r="I100" s="39">
        <f t="shared" si="49"/>
        <v>0</v>
      </c>
      <c r="J100" s="39">
        <f t="shared" si="49"/>
        <v>0</v>
      </c>
      <c r="K100" s="39">
        <f t="shared" si="49"/>
        <v>0</v>
      </c>
      <c r="L100" s="39">
        <f t="shared" si="49"/>
        <v>0</v>
      </c>
      <c r="M100" s="39">
        <f t="shared" si="49"/>
        <v>0</v>
      </c>
      <c r="N100" s="3">
        <v>170</v>
      </c>
      <c r="O100" s="39">
        <f t="shared" si="45"/>
        <v>2.4153235294117645</v>
      </c>
      <c r="P100" s="39">
        <f t="shared" si="46"/>
        <v>0</v>
      </c>
      <c r="Q100" s="39">
        <f t="shared" si="47"/>
        <v>0</v>
      </c>
      <c r="R100" s="39">
        <f t="shared" si="48"/>
        <v>0</v>
      </c>
    </row>
    <row r="101" spans="5:18" ht="16" x14ac:dyDescent="0.2">
      <c r="E101" s="95" t="s">
        <v>99</v>
      </c>
      <c r="F101" s="97" t="s">
        <v>128</v>
      </c>
      <c r="G101" s="98"/>
      <c r="H101" s="98"/>
      <c r="I101" s="98"/>
      <c r="J101" s="98"/>
      <c r="K101" s="98"/>
      <c r="L101" s="98"/>
      <c r="M101" s="98"/>
      <c r="N101" s="59" t="s">
        <v>104</v>
      </c>
      <c r="O101" s="47" t="s">
        <v>105</v>
      </c>
      <c r="P101" s="48" t="s">
        <v>106</v>
      </c>
      <c r="Q101" s="48" t="s">
        <v>107</v>
      </c>
      <c r="R101" s="49" t="s">
        <v>108</v>
      </c>
    </row>
    <row r="102" spans="5:18" ht="15" x14ac:dyDescent="0.2">
      <c r="E102" s="96"/>
      <c r="F102" s="51">
        <v>70</v>
      </c>
      <c r="G102" s="51">
        <v>70</v>
      </c>
      <c r="H102" s="51">
        <v>70</v>
      </c>
      <c r="I102" s="51">
        <v>70</v>
      </c>
      <c r="J102" s="51">
        <v>70</v>
      </c>
      <c r="K102" s="51">
        <v>70</v>
      </c>
      <c r="L102" s="51">
        <v>70</v>
      </c>
      <c r="M102" s="51">
        <v>70</v>
      </c>
      <c r="N102" s="60" t="s">
        <v>113</v>
      </c>
      <c r="O102" s="47" t="s">
        <v>27</v>
      </c>
      <c r="P102" s="48" t="s">
        <v>27</v>
      </c>
      <c r="Q102" s="48" t="s">
        <v>27</v>
      </c>
      <c r="R102" s="49" t="s">
        <v>27</v>
      </c>
    </row>
    <row r="103" spans="5:18" ht="15" x14ac:dyDescent="0.2">
      <c r="E103" s="39" t="s">
        <v>114</v>
      </c>
      <c r="F103" s="39">
        <f t="shared" ref="F103:M118" si="50">F3/70</f>
        <v>1.5571428571428572E-4</v>
      </c>
      <c r="G103" s="39">
        <f t="shared" si="50"/>
        <v>7.8571428571428566E-5</v>
      </c>
      <c r="H103" s="39">
        <f t="shared" si="50"/>
        <v>1.5142857142857143E-4</v>
      </c>
      <c r="I103" s="39">
        <f t="shared" si="50"/>
        <v>1.5571428571428572E-4</v>
      </c>
      <c r="J103" s="39">
        <f t="shared" si="50"/>
        <v>8.7142857142857153E-5</v>
      </c>
      <c r="K103" s="39">
        <f t="shared" si="50"/>
        <v>0</v>
      </c>
      <c r="L103" s="39">
        <f t="shared" si="50"/>
        <v>0</v>
      </c>
      <c r="M103" s="39">
        <f>M3/70</f>
        <v>0</v>
      </c>
      <c r="N103" s="7">
        <v>5.7000000000000002E-2</v>
      </c>
      <c r="O103" s="39">
        <f>MAX(F103:G103)/N103</f>
        <v>2.731829573934837E-3</v>
      </c>
      <c r="P103" s="39">
        <f>MAX(G103:H103)/N103</f>
        <v>2.6566416040100251E-3</v>
      </c>
      <c r="Q103" s="39">
        <f>MAX(J103:K103)/N103</f>
        <v>1.5288220551378448E-3</v>
      </c>
      <c r="R103" s="39">
        <f>MAX(L103:M103)/N103</f>
        <v>0</v>
      </c>
    </row>
    <row r="104" spans="5:18" ht="15" x14ac:dyDescent="0.2">
      <c r="E104" s="39" t="s">
        <v>115</v>
      </c>
      <c r="F104" s="39">
        <f t="shared" si="50"/>
        <v>1.4857142857142858</v>
      </c>
      <c r="G104" s="39">
        <f t="shared" si="50"/>
        <v>1.2371428571428571</v>
      </c>
      <c r="H104" s="39">
        <f t="shared" si="50"/>
        <v>1.6571428571428573</v>
      </c>
      <c r="I104" s="39">
        <f t="shared" si="50"/>
        <v>1.6571428571428573</v>
      </c>
      <c r="J104" s="39">
        <f t="shared" si="50"/>
        <v>0.10628571428571429</v>
      </c>
      <c r="K104" s="39">
        <f t="shared" si="50"/>
        <v>0.17857142857142858</v>
      </c>
      <c r="L104" s="39">
        <f t="shared" si="50"/>
        <v>3.0000000000000002E-2</v>
      </c>
      <c r="M104" s="39">
        <f>M4/70</f>
        <v>2.8000000000000001E-2</v>
      </c>
      <c r="N104" s="7">
        <v>114.7</v>
      </c>
      <c r="O104" s="39">
        <f t="shared" ref="O104:O120" si="51">MAX(F104:G104)/N104</f>
        <v>1.2953045211109727E-2</v>
      </c>
      <c r="P104" s="39">
        <f t="shared" ref="P104:P120" si="52">MAX(G104:H104)/N104</f>
        <v>1.4447627350853158E-2</v>
      </c>
      <c r="Q104" s="39">
        <f t="shared" ref="Q104:Q120" si="53">MAX(J104:K104)/N104</f>
        <v>1.5568563955660731E-3</v>
      </c>
      <c r="R104" s="39">
        <f t="shared" ref="R104:R120" si="54">MAX(L104:M104)/N104</f>
        <v>2.6155187445510029E-4</v>
      </c>
    </row>
    <row r="105" spans="5:18" ht="15" x14ac:dyDescent="0.2">
      <c r="E105" s="39" t="s">
        <v>116</v>
      </c>
      <c r="F105" s="39">
        <f t="shared" si="50"/>
        <v>2.0285714285714285</v>
      </c>
      <c r="G105" s="39">
        <f t="shared" si="50"/>
        <v>1.9142857142857144</v>
      </c>
      <c r="H105" s="39">
        <f t="shared" si="50"/>
        <v>3.6</v>
      </c>
      <c r="I105" s="39">
        <f t="shared" si="50"/>
        <v>3.1714285714285713</v>
      </c>
      <c r="J105" s="39">
        <f t="shared" si="50"/>
        <v>1.9857142857142858</v>
      </c>
      <c r="K105" s="39">
        <f t="shared" si="50"/>
        <v>1.9857142857142858</v>
      </c>
      <c r="L105" s="39">
        <f t="shared" si="50"/>
        <v>0.8571428571428571</v>
      </c>
      <c r="M105" s="39">
        <f t="shared" si="50"/>
        <v>0.77142857142857146</v>
      </c>
      <c r="N105" s="6">
        <v>2900</v>
      </c>
      <c r="O105" s="39">
        <f t="shared" si="51"/>
        <v>6.9950738916256159E-4</v>
      </c>
      <c r="P105" s="39">
        <f t="shared" si="52"/>
        <v>1.2413793103448277E-3</v>
      </c>
      <c r="Q105" s="39">
        <f t="shared" si="53"/>
        <v>6.8472906403940889E-4</v>
      </c>
      <c r="R105" s="39">
        <f t="shared" si="54"/>
        <v>2.9556650246305416E-4</v>
      </c>
    </row>
    <row r="106" spans="5:18" ht="15" x14ac:dyDescent="0.2">
      <c r="E106" s="39" t="s">
        <v>117</v>
      </c>
      <c r="F106" s="39">
        <f t="shared" si="50"/>
        <v>0.31714285714285712</v>
      </c>
      <c r="G106" s="39">
        <f t="shared" si="50"/>
        <v>0.28714285714285714</v>
      </c>
      <c r="H106" s="39">
        <f t="shared" si="50"/>
        <v>0.27857142857142858</v>
      </c>
      <c r="I106" s="39">
        <f t="shared" si="50"/>
        <v>0.25428571428571428</v>
      </c>
      <c r="J106" s="39">
        <f t="shared" si="50"/>
        <v>3.7714285714285714E-2</v>
      </c>
      <c r="K106" s="39">
        <f t="shared" si="50"/>
        <v>5.2714285714285714E-2</v>
      </c>
      <c r="L106" s="39">
        <f t="shared" si="50"/>
        <v>0</v>
      </c>
      <c r="M106" s="39">
        <f t="shared" si="50"/>
        <v>0</v>
      </c>
      <c r="N106" s="3">
        <v>1.06</v>
      </c>
      <c r="O106" s="39">
        <f t="shared" si="51"/>
        <v>0.29919137466307272</v>
      </c>
      <c r="P106" s="39">
        <f t="shared" si="52"/>
        <v>0.27088948787061995</v>
      </c>
      <c r="Q106" s="39">
        <f t="shared" si="53"/>
        <v>4.9730458221024253E-2</v>
      </c>
      <c r="R106" s="39">
        <f t="shared" si="54"/>
        <v>0</v>
      </c>
    </row>
    <row r="107" spans="5:18" ht="15" x14ac:dyDescent="0.2">
      <c r="E107" s="39" t="s">
        <v>118</v>
      </c>
      <c r="F107" s="39">
        <f t="shared" si="50"/>
        <v>4.5571428571428569</v>
      </c>
      <c r="G107" s="39">
        <f t="shared" si="50"/>
        <v>3.3714285714285714</v>
      </c>
      <c r="H107" s="39">
        <f t="shared" si="50"/>
        <v>2.0714285714285716</v>
      </c>
      <c r="I107" s="39">
        <f t="shared" si="50"/>
        <v>2.0285714285714285</v>
      </c>
      <c r="J107" s="39">
        <f t="shared" si="50"/>
        <v>0.31428571428571428</v>
      </c>
      <c r="K107" s="39">
        <f t="shared" si="50"/>
        <v>0.23571428571428571</v>
      </c>
      <c r="L107" s="39">
        <f t="shared" si="50"/>
        <v>0</v>
      </c>
      <c r="M107" s="39">
        <f t="shared" si="50"/>
        <v>0</v>
      </c>
      <c r="N107" s="3">
        <v>6.3</v>
      </c>
      <c r="O107" s="39">
        <f t="shared" si="51"/>
        <v>0.72335600907029474</v>
      </c>
      <c r="P107" s="39">
        <f t="shared" si="52"/>
        <v>0.53514739229024944</v>
      </c>
      <c r="Q107" s="39">
        <f t="shared" si="53"/>
        <v>4.9886621315192746E-2</v>
      </c>
      <c r="R107" s="39">
        <f t="shared" si="54"/>
        <v>0</v>
      </c>
    </row>
    <row r="108" spans="5:18" ht="15" x14ac:dyDescent="0.2">
      <c r="E108" s="39" t="s">
        <v>16</v>
      </c>
      <c r="F108" s="39">
        <f t="shared" si="50"/>
        <v>0.24857142857142855</v>
      </c>
      <c r="G108" s="39">
        <f t="shared" si="50"/>
        <v>0.24285714285714285</v>
      </c>
      <c r="H108" s="39">
        <f t="shared" si="50"/>
        <v>0.34142857142857141</v>
      </c>
      <c r="I108" s="39">
        <f t="shared" si="50"/>
        <v>0.40142857142857147</v>
      </c>
      <c r="J108" s="39">
        <f t="shared" si="50"/>
        <v>0.17</v>
      </c>
      <c r="K108" s="39">
        <f t="shared" si="50"/>
        <v>0.16428571428571428</v>
      </c>
      <c r="L108" s="39">
        <f t="shared" si="50"/>
        <v>0</v>
      </c>
      <c r="M108" s="39">
        <f t="shared" si="50"/>
        <v>0</v>
      </c>
      <c r="N108" s="3">
        <v>1650</v>
      </c>
      <c r="O108" s="39">
        <f t="shared" si="51"/>
        <v>1.5064935064935063E-4</v>
      </c>
      <c r="P108" s="39">
        <f t="shared" si="52"/>
        <v>2.0692640692640692E-4</v>
      </c>
      <c r="Q108" s="39">
        <f t="shared" si="53"/>
        <v>1.0303030303030303E-4</v>
      </c>
      <c r="R108" s="39">
        <f t="shared" si="54"/>
        <v>0</v>
      </c>
    </row>
    <row r="109" spans="5:18" ht="15" x14ac:dyDescent="0.2">
      <c r="E109" s="39" t="s">
        <v>119</v>
      </c>
      <c r="F109" s="39">
        <f t="shared" si="50"/>
        <v>10.771428571428572</v>
      </c>
      <c r="G109" s="39">
        <f t="shared" si="50"/>
        <v>11.628571428571428</v>
      </c>
      <c r="H109" s="39">
        <f t="shared" si="50"/>
        <v>14.285714285714286</v>
      </c>
      <c r="I109" s="39">
        <f t="shared" si="50"/>
        <v>14.085714285714285</v>
      </c>
      <c r="J109" s="39">
        <f t="shared" si="50"/>
        <v>3.7571428571428571</v>
      </c>
      <c r="K109" s="39">
        <f t="shared" si="50"/>
        <v>4.0571428571428569</v>
      </c>
      <c r="L109" s="39">
        <f t="shared" si="50"/>
        <v>0.89857142857142858</v>
      </c>
      <c r="M109" s="39">
        <f t="shared" si="50"/>
        <v>0.87142857142857144</v>
      </c>
      <c r="N109" s="3">
        <v>34</v>
      </c>
      <c r="O109" s="39">
        <f t="shared" si="51"/>
        <v>0.34201680672268908</v>
      </c>
      <c r="P109" s="39">
        <f t="shared" si="52"/>
        <v>0.42016806722689076</v>
      </c>
      <c r="Q109" s="39">
        <f t="shared" si="53"/>
        <v>0.11932773109243697</v>
      </c>
      <c r="R109" s="39">
        <f t="shared" si="54"/>
        <v>2.642857142857143E-2</v>
      </c>
    </row>
    <row r="110" spans="5:18" ht="15" x14ac:dyDescent="0.2">
      <c r="E110" s="39" t="s">
        <v>120</v>
      </c>
      <c r="F110" s="39">
        <f t="shared" si="50"/>
        <v>0</v>
      </c>
      <c r="G110" s="39">
        <f t="shared" si="50"/>
        <v>0</v>
      </c>
      <c r="H110" s="39">
        <f t="shared" si="50"/>
        <v>0</v>
      </c>
      <c r="I110" s="39">
        <f t="shared" si="50"/>
        <v>0</v>
      </c>
      <c r="J110" s="39">
        <f t="shared" si="50"/>
        <v>0</v>
      </c>
      <c r="K110" s="39">
        <f t="shared" si="50"/>
        <v>0</v>
      </c>
      <c r="L110" s="39">
        <f t="shared" si="50"/>
        <v>0</v>
      </c>
      <c r="M110" s="39">
        <f t="shared" si="50"/>
        <v>0</v>
      </c>
      <c r="N110" s="3">
        <v>11900</v>
      </c>
      <c r="O110" s="39">
        <f t="shared" si="51"/>
        <v>0</v>
      </c>
      <c r="P110" s="39">
        <f t="shared" si="52"/>
        <v>0</v>
      </c>
      <c r="Q110" s="39">
        <f t="shared" si="53"/>
        <v>0</v>
      </c>
      <c r="R110" s="39">
        <f t="shared" si="54"/>
        <v>0</v>
      </c>
    </row>
    <row r="111" spans="5:18" ht="15" x14ac:dyDescent="0.2">
      <c r="E111" s="39" t="s">
        <v>11</v>
      </c>
      <c r="F111" s="39">
        <f t="shared" si="50"/>
        <v>0</v>
      </c>
      <c r="G111" s="39">
        <f t="shared" si="50"/>
        <v>0</v>
      </c>
      <c r="H111" s="39">
        <f t="shared" si="50"/>
        <v>0</v>
      </c>
      <c r="I111" s="39">
        <f t="shared" si="50"/>
        <v>0</v>
      </c>
      <c r="J111" s="39">
        <f t="shared" si="50"/>
        <v>0</v>
      </c>
      <c r="K111" s="39">
        <f t="shared" si="50"/>
        <v>0</v>
      </c>
      <c r="L111" s="39">
        <f t="shared" si="50"/>
        <v>0</v>
      </c>
      <c r="M111" s="39">
        <f t="shared" si="50"/>
        <v>0</v>
      </c>
      <c r="N111" s="3">
        <v>37</v>
      </c>
      <c r="O111" s="39">
        <f t="shared" si="51"/>
        <v>0</v>
      </c>
      <c r="P111" s="39">
        <f t="shared" si="52"/>
        <v>0</v>
      </c>
      <c r="Q111" s="39">
        <f t="shared" si="53"/>
        <v>0</v>
      </c>
      <c r="R111" s="39">
        <f t="shared" si="54"/>
        <v>0</v>
      </c>
    </row>
    <row r="112" spans="5:18" ht="15" x14ac:dyDescent="0.2">
      <c r="E112" s="39" t="s">
        <v>121</v>
      </c>
      <c r="F112" s="39">
        <f t="shared" si="50"/>
        <v>4.1428571428571426E-2</v>
      </c>
      <c r="G112" s="39">
        <f t="shared" si="50"/>
        <v>3.4285714285714287E-2</v>
      </c>
      <c r="H112" s="39">
        <f t="shared" si="50"/>
        <v>0.05</v>
      </c>
      <c r="I112" s="39">
        <f t="shared" si="50"/>
        <v>5.1428571428571428E-2</v>
      </c>
      <c r="J112" s="39">
        <f t="shared" si="50"/>
        <v>1.5714285714285715E-2</v>
      </c>
      <c r="K112" s="39">
        <f t="shared" si="50"/>
        <v>1.4285714285714285E-2</v>
      </c>
      <c r="L112" s="39">
        <f t="shared" si="50"/>
        <v>0</v>
      </c>
      <c r="M112" s="39">
        <f t="shared" si="50"/>
        <v>0</v>
      </c>
      <c r="N112" s="3">
        <v>4.0999999999999996</v>
      </c>
      <c r="O112" s="39">
        <f t="shared" si="51"/>
        <v>1.0104529616724738E-2</v>
      </c>
      <c r="P112" s="39">
        <f t="shared" si="52"/>
        <v>1.2195121951219514E-2</v>
      </c>
      <c r="Q112" s="39">
        <f t="shared" si="53"/>
        <v>3.8327526132404185E-3</v>
      </c>
      <c r="R112" s="39">
        <f t="shared" si="54"/>
        <v>0</v>
      </c>
    </row>
    <row r="113" spans="5:18" ht="15" x14ac:dyDescent="0.2">
      <c r="E113" s="39" t="s">
        <v>122</v>
      </c>
      <c r="F113" s="39">
        <f t="shared" si="50"/>
        <v>20.857142857142858</v>
      </c>
      <c r="G113" s="39">
        <f t="shared" si="50"/>
        <v>24.857142857142858</v>
      </c>
      <c r="H113" s="39">
        <f t="shared" si="50"/>
        <v>26.714285714285715</v>
      </c>
      <c r="I113" s="39">
        <f t="shared" si="50"/>
        <v>27.571428571428573</v>
      </c>
      <c r="J113" s="39">
        <f t="shared" si="50"/>
        <v>8.742857142857142</v>
      </c>
      <c r="K113" s="39">
        <f t="shared" si="50"/>
        <v>9.1285714285714281</v>
      </c>
      <c r="L113" s="39">
        <f t="shared" si="50"/>
        <v>1.8142857142857143</v>
      </c>
      <c r="M113" s="39">
        <f t="shared" si="50"/>
        <v>1.7857142857142858</v>
      </c>
      <c r="N113" s="3">
        <v>14.4</v>
      </c>
      <c r="O113" s="39">
        <f t="shared" si="51"/>
        <v>1.7261904761904763</v>
      </c>
      <c r="P113" s="39">
        <f t="shared" si="52"/>
        <v>1.8551587301587302</v>
      </c>
      <c r="Q113" s="39">
        <f t="shared" si="53"/>
        <v>0.6339285714285714</v>
      </c>
      <c r="R113" s="39">
        <f t="shared" si="54"/>
        <v>0.12599206349206349</v>
      </c>
    </row>
    <row r="114" spans="5:18" ht="15" x14ac:dyDescent="0.2">
      <c r="E114" s="39" t="s">
        <v>123</v>
      </c>
      <c r="F114" s="39">
        <f t="shared" si="50"/>
        <v>2.057142857142857E-2</v>
      </c>
      <c r="G114" s="39">
        <f t="shared" si="50"/>
        <v>2.6714285714285715E-2</v>
      </c>
      <c r="H114" s="39">
        <f t="shared" si="50"/>
        <v>2.3714285714285712E-2</v>
      </c>
      <c r="I114" s="39">
        <f t="shared" si="50"/>
        <v>2.871428571428571E-2</v>
      </c>
      <c r="J114" s="39">
        <f t="shared" si="50"/>
        <v>0</v>
      </c>
      <c r="K114" s="39">
        <f t="shared" si="50"/>
        <v>0</v>
      </c>
      <c r="L114" s="39">
        <f t="shared" si="50"/>
        <v>0</v>
      </c>
      <c r="M114" s="39">
        <f t="shared" si="50"/>
        <v>0</v>
      </c>
      <c r="N114" s="3">
        <v>0.19</v>
      </c>
      <c r="O114" s="39">
        <f t="shared" si="51"/>
        <v>0.14060150375939851</v>
      </c>
      <c r="P114" s="39">
        <f t="shared" si="52"/>
        <v>0.14060150375939851</v>
      </c>
      <c r="Q114" s="39">
        <f t="shared" si="53"/>
        <v>0</v>
      </c>
      <c r="R114" s="39">
        <f t="shared" si="54"/>
        <v>0</v>
      </c>
    </row>
    <row r="115" spans="5:18" ht="15" x14ac:dyDescent="0.2">
      <c r="E115" s="39" t="s">
        <v>124</v>
      </c>
      <c r="F115" s="39">
        <f t="shared" si="50"/>
        <v>0.18714285714285714</v>
      </c>
      <c r="G115" s="39">
        <f t="shared" si="50"/>
        <v>0.16285714285714287</v>
      </c>
      <c r="H115" s="39">
        <f t="shared" si="50"/>
        <v>0.26</v>
      </c>
      <c r="I115" s="39">
        <f t="shared" si="50"/>
        <v>0.25285714285714284</v>
      </c>
      <c r="J115" s="39">
        <f t="shared" si="50"/>
        <v>6.8714285714285714E-2</v>
      </c>
      <c r="K115" s="39">
        <f t="shared" si="50"/>
        <v>7.8714285714285709E-2</v>
      </c>
      <c r="L115" s="39">
        <f t="shared" si="50"/>
        <v>1.4428571428571429E-2</v>
      </c>
      <c r="M115" s="39">
        <f t="shared" si="50"/>
        <v>1.4428571428571429E-2</v>
      </c>
      <c r="N115" s="3">
        <v>6.5</v>
      </c>
      <c r="O115" s="39">
        <f t="shared" si="51"/>
        <v>2.8791208791208792E-2</v>
      </c>
      <c r="P115" s="39">
        <f t="shared" si="52"/>
        <v>0.04</v>
      </c>
      <c r="Q115" s="39">
        <f t="shared" si="53"/>
        <v>1.2109890109890109E-2</v>
      </c>
      <c r="R115" s="39">
        <f t="shared" si="54"/>
        <v>2.2197802197802198E-3</v>
      </c>
    </row>
    <row r="116" spans="5:18" ht="15" x14ac:dyDescent="0.2">
      <c r="E116" s="39" t="s">
        <v>125</v>
      </c>
      <c r="F116" s="39">
        <f t="shared" si="50"/>
        <v>1.2757142857142856</v>
      </c>
      <c r="G116" s="39">
        <f t="shared" si="50"/>
        <v>1.0585714285714285</v>
      </c>
      <c r="H116" s="39">
        <f t="shared" si="50"/>
        <v>1.26</v>
      </c>
      <c r="I116" s="39">
        <f t="shared" si="50"/>
        <v>1.2171428571428571</v>
      </c>
      <c r="J116" s="39">
        <f t="shared" si="50"/>
        <v>0.6785714285714286</v>
      </c>
      <c r="K116" s="39">
        <f t="shared" si="50"/>
        <v>0.99857142857142867</v>
      </c>
      <c r="L116" s="39">
        <f t="shared" si="50"/>
        <v>0.21285714285714286</v>
      </c>
      <c r="M116" s="39">
        <f t="shared" si="50"/>
        <v>0.1957142857142857</v>
      </c>
      <c r="N116" s="3">
        <v>20</v>
      </c>
      <c r="O116" s="39">
        <f t="shared" si="51"/>
        <v>6.3785714285714279E-2</v>
      </c>
      <c r="P116" s="39">
        <f t="shared" si="52"/>
        <v>6.3E-2</v>
      </c>
      <c r="Q116" s="39">
        <f t="shared" si="53"/>
        <v>4.9928571428571433E-2</v>
      </c>
      <c r="R116" s="39">
        <f t="shared" si="54"/>
        <v>1.0642857142857143E-2</v>
      </c>
    </row>
    <row r="117" spans="5:18" ht="15" x14ac:dyDescent="0.2">
      <c r="E117" s="39" t="s">
        <v>126</v>
      </c>
      <c r="F117" s="39">
        <f t="shared" si="50"/>
        <v>0.25714285714285712</v>
      </c>
      <c r="G117" s="39">
        <f t="shared" si="50"/>
        <v>6.4000000000000001E-2</v>
      </c>
      <c r="H117" s="39">
        <f t="shared" si="50"/>
        <v>0.4757142857142857</v>
      </c>
      <c r="I117" s="39">
        <f t="shared" si="50"/>
        <v>0.37285714285714289</v>
      </c>
      <c r="J117" s="39">
        <f t="shared" si="50"/>
        <v>0</v>
      </c>
      <c r="K117" s="39">
        <f t="shared" si="50"/>
        <v>1.4428571428571429E-2</v>
      </c>
      <c r="L117" s="39">
        <f t="shared" si="50"/>
        <v>0</v>
      </c>
      <c r="M117" s="39">
        <f t="shared" si="50"/>
        <v>0</v>
      </c>
      <c r="N117" s="3">
        <v>2.4</v>
      </c>
      <c r="O117" s="39">
        <f t="shared" si="51"/>
        <v>0.10714285714285714</v>
      </c>
      <c r="P117" s="39">
        <f t="shared" si="52"/>
        <v>0.1982142857142857</v>
      </c>
      <c r="Q117" s="39">
        <f t="shared" si="53"/>
        <v>6.0119047619047626E-3</v>
      </c>
      <c r="R117" s="39">
        <f t="shared" si="54"/>
        <v>0</v>
      </c>
    </row>
    <row r="118" spans="5:18" ht="15" x14ac:dyDescent="0.2">
      <c r="E118" s="39" t="s">
        <v>127</v>
      </c>
      <c r="F118" s="39">
        <f t="shared" si="50"/>
        <v>6.3857142857142848E-2</v>
      </c>
      <c r="G118" s="39">
        <f t="shared" si="50"/>
        <v>6.242857142857143E-2</v>
      </c>
      <c r="H118" s="39">
        <f t="shared" si="50"/>
        <v>9.0285714285714289E-2</v>
      </c>
      <c r="I118" s="39">
        <f t="shared" si="50"/>
        <v>8.4000000000000005E-2</v>
      </c>
      <c r="J118" s="39">
        <f t="shared" si="50"/>
        <v>3.0428571428571426E-2</v>
      </c>
      <c r="K118" s="39">
        <f t="shared" si="50"/>
        <v>3.2857142857142856E-2</v>
      </c>
      <c r="L118" s="39">
        <f t="shared" si="50"/>
        <v>0</v>
      </c>
      <c r="M118" s="39">
        <f t="shared" si="50"/>
        <v>0</v>
      </c>
      <c r="N118" s="3">
        <v>5.6</v>
      </c>
      <c r="O118" s="39">
        <f t="shared" si="51"/>
        <v>1.1403061224489796E-2</v>
      </c>
      <c r="P118" s="39">
        <f t="shared" si="52"/>
        <v>1.6122448979591839E-2</v>
      </c>
      <c r="Q118" s="39">
        <f t="shared" si="53"/>
        <v>5.8673469387755103E-3</v>
      </c>
      <c r="R118" s="39">
        <f t="shared" si="54"/>
        <v>0</v>
      </c>
    </row>
    <row r="119" spans="5:18" ht="15" x14ac:dyDescent="0.2">
      <c r="E119" s="39" t="s">
        <v>1</v>
      </c>
      <c r="F119" s="39">
        <f t="shared" ref="F119:M120" si="55">F19/70</f>
        <v>0</v>
      </c>
      <c r="G119" s="39">
        <f t="shared" si="55"/>
        <v>0</v>
      </c>
      <c r="H119" s="39">
        <f t="shared" si="55"/>
        <v>0</v>
      </c>
      <c r="I119" s="39">
        <f t="shared" si="55"/>
        <v>0</v>
      </c>
      <c r="J119" s="39">
        <f t="shared" si="55"/>
        <v>0</v>
      </c>
      <c r="K119" s="39">
        <f t="shared" si="55"/>
        <v>0</v>
      </c>
      <c r="L119" s="39">
        <f t="shared" si="55"/>
        <v>0</v>
      </c>
      <c r="M119" s="39">
        <f t="shared" si="55"/>
        <v>0</v>
      </c>
      <c r="N119" s="3">
        <v>28</v>
      </c>
      <c r="O119" s="39">
        <f t="shared" si="51"/>
        <v>0</v>
      </c>
      <c r="P119" s="39">
        <f t="shared" si="52"/>
        <v>0</v>
      </c>
      <c r="Q119" s="39">
        <f t="shared" si="53"/>
        <v>0</v>
      </c>
      <c r="R119" s="39">
        <f t="shared" si="54"/>
        <v>0</v>
      </c>
    </row>
    <row r="120" spans="5:18" ht="15" x14ac:dyDescent="0.2">
      <c r="E120" s="39" t="s">
        <v>0</v>
      </c>
      <c r="F120" s="39">
        <f t="shared" si="55"/>
        <v>351.94714285714286</v>
      </c>
      <c r="G120" s="39">
        <f t="shared" si="55"/>
        <v>0</v>
      </c>
      <c r="H120" s="39">
        <f t="shared" si="55"/>
        <v>0</v>
      </c>
      <c r="I120" s="39">
        <f t="shared" si="55"/>
        <v>0</v>
      </c>
      <c r="J120" s="39">
        <f t="shared" si="55"/>
        <v>0</v>
      </c>
      <c r="K120" s="39">
        <f t="shared" si="55"/>
        <v>0</v>
      </c>
      <c r="L120" s="39">
        <f t="shared" si="55"/>
        <v>0</v>
      </c>
      <c r="M120" s="39">
        <f t="shared" si="55"/>
        <v>0</v>
      </c>
      <c r="N120" s="3">
        <v>170</v>
      </c>
      <c r="O120" s="39">
        <f t="shared" si="51"/>
        <v>2.0702773109243697</v>
      </c>
      <c r="P120" s="39">
        <f t="shared" si="52"/>
        <v>0</v>
      </c>
      <c r="Q120" s="39">
        <f t="shared" si="53"/>
        <v>0</v>
      </c>
      <c r="R120" s="39">
        <f t="shared" si="54"/>
        <v>0</v>
      </c>
    </row>
    <row r="121" spans="5:18" ht="16" x14ac:dyDescent="0.2">
      <c r="E121" s="95" t="s">
        <v>99</v>
      </c>
      <c r="F121" s="97" t="s">
        <v>128</v>
      </c>
      <c r="G121" s="98"/>
      <c r="H121" s="98"/>
      <c r="I121" s="98"/>
      <c r="J121" s="98"/>
      <c r="K121" s="98"/>
      <c r="L121" s="98"/>
      <c r="M121" s="98"/>
      <c r="N121" s="59" t="s">
        <v>104</v>
      </c>
      <c r="O121" s="47" t="s">
        <v>105</v>
      </c>
      <c r="P121" s="48" t="s">
        <v>106</v>
      </c>
      <c r="Q121" s="48" t="s">
        <v>107</v>
      </c>
      <c r="R121" s="49" t="s">
        <v>108</v>
      </c>
    </row>
    <row r="122" spans="5:18" ht="15" x14ac:dyDescent="0.2">
      <c r="E122" s="96"/>
      <c r="F122" s="51">
        <v>80</v>
      </c>
      <c r="G122" s="51">
        <v>80</v>
      </c>
      <c r="H122" s="51">
        <v>80</v>
      </c>
      <c r="I122" s="51">
        <v>80</v>
      </c>
      <c r="J122" s="51">
        <v>80</v>
      </c>
      <c r="K122" s="51">
        <v>80</v>
      </c>
      <c r="L122" s="51">
        <v>80</v>
      </c>
      <c r="M122" s="51">
        <v>80</v>
      </c>
      <c r="N122" s="60" t="s">
        <v>113</v>
      </c>
      <c r="O122" s="47" t="s">
        <v>27</v>
      </c>
      <c r="P122" s="48" t="s">
        <v>27</v>
      </c>
      <c r="Q122" s="48" t="s">
        <v>27</v>
      </c>
      <c r="R122" s="49" t="s">
        <v>27</v>
      </c>
    </row>
    <row r="123" spans="5:18" ht="15" x14ac:dyDescent="0.2">
      <c r="E123" s="39" t="s">
        <v>114</v>
      </c>
      <c r="F123" s="39">
        <f>F3/$F$122</f>
        <v>1.3625000000000001E-4</v>
      </c>
      <c r="G123" s="39">
        <f>G3/$G$122</f>
        <v>6.8749999999999991E-5</v>
      </c>
      <c r="H123" s="39">
        <f>H3/$H$122</f>
        <v>1.325E-4</v>
      </c>
      <c r="I123" s="39">
        <f>I3/$I$122</f>
        <v>1.3625000000000001E-4</v>
      </c>
      <c r="J123" s="39">
        <f>J3/$J$122</f>
        <v>7.625000000000001E-5</v>
      </c>
      <c r="K123" s="39">
        <f>K3/$K$122</f>
        <v>0</v>
      </c>
      <c r="L123" s="39">
        <f t="shared" ref="L123:L140" si="56">L3/$L$122</f>
        <v>0</v>
      </c>
      <c r="M123" s="39">
        <f>M3/$M$122</f>
        <v>0</v>
      </c>
      <c r="N123" s="7">
        <v>5.7000000000000002E-2</v>
      </c>
      <c r="O123" s="39">
        <f>MAX(F123:G123)/N123</f>
        <v>2.3903508771929826E-3</v>
      </c>
      <c r="P123" s="39">
        <f>MAX(G123:H123)/N123</f>
        <v>2.3245614035087717E-3</v>
      </c>
      <c r="Q123" s="39">
        <f>MAX(J123:K123)/N123</f>
        <v>1.3377192982456142E-3</v>
      </c>
      <c r="R123" s="39">
        <f>MAX(L123:M123)/N123</f>
        <v>0</v>
      </c>
    </row>
    <row r="124" spans="5:18" ht="15" x14ac:dyDescent="0.2">
      <c r="E124" s="39" t="s">
        <v>115</v>
      </c>
      <c r="F124" s="39">
        <f>F4/$F$122</f>
        <v>1.3</v>
      </c>
      <c r="G124" s="39">
        <f>G4/$G$122</f>
        <v>1.0825</v>
      </c>
      <c r="H124" s="39">
        <f>H4/$H$122</f>
        <v>1.45</v>
      </c>
      <c r="I124" s="39">
        <f>I4/$I$122</f>
        <v>1.45</v>
      </c>
      <c r="J124" s="39">
        <f>J4/$J$122</f>
        <v>9.2999999999999999E-2</v>
      </c>
      <c r="K124" s="39">
        <f>K4/$K$122</f>
        <v>0.15625</v>
      </c>
      <c r="L124" s="39">
        <f t="shared" si="56"/>
        <v>2.6250000000000002E-2</v>
      </c>
      <c r="M124" s="39">
        <f>M4/$M$122</f>
        <v>2.4500000000000001E-2</v>
      </c>
      <c r="N124" s="7">
        <v>114.7</v>
      </c>
      <c r="O124" s="39">
        <f t="shared" ref="O124:O140" si="57">MAX(F124:G124)/N124</f>
        <v>1.1333914559721011E-2</v>
      </c>
      <c r="P124" s="39">
        <f t="shared" ref="P124:P140" si="58">MAX(G124:H124)/N124</f>
        <v>1.2641673931996512E-2</v>
      </c>
      <c r="Q124" s="39">
        <f t="shared" ref="Q124:Q140" si="59">MAX(J124:K124)/N124</f>
        <v>1.3622493461203139E-3</v>
      </c>
      <c r="R124" s="39">
        <f t="shared" ref="R124:R140" si="60">MAX(L124:M124)/N124</f>
        <v>2.2885789014821274E-4</v>
      </c>
    </row>
    <row r="125" spans="5:18" ht="15" x14ac:dyDescent="0.2">
      <c r="E125" s="39" t="s">
        <v>116</v>
      </c>
      <c r="F125" s="39">
        <f t="shared" ref="F125:F140" si="61">F5/$F$122</f>
        <v>1.7749999999999999</v>
      </c>
      <c r="G125" s="39">
        <f t="shared" ref="G125:G140" si="62">G5/$G$122</f>
        <v>1.675</v>
      </c>
      <c r="H125" s="39">
        <f t="shared" ref="H125:H140" si="63">H5/$H$122</f>
        <v>3.15</v>
      </c>
      <c r="I125" s="39">
        <f t="shared" ref="I125:I140" si="64">I5/$I$122</f>
        <v>2.7749999999999999</v>
      </c>
      <c r="J125" s="39">
        <f t="shared" ref="J125:J140" si="65">J5/$J$122</f>
        <v>1.7375</v>
      </c>
      <c r="K125" s="39">
        <f t="shared" ref="K125:K140" si="66">K5/$K$122</f>
        <v>1.7375</v>
      </c>
      <c r="L125" s="39">
        <f t="shared" si="56"/>
        <v>0.75</v>
      </c>
      <c r="M125" s="39">
        <f t="shared" ref="M125:M140" si="67">M5/$M$122</f>
        <v>0.67500000000000004</v>
      </c>
      <c r="N125" s="6">
        <v>2900</v>
      </c>
      <c r="O125" s="39">
        <f t="shared" si="57"/>
        <v>6.1206896551724136E-4</v>
      </c>
      <c r="P125" s="39">
        <f t="shared" si="58"/>
        <v>1.0862068965517241E-3</v>
      </c>
      <c r="Q125" s="39">
        <f t="shared" si="59"/>
        <v>5.9913793103448282E-4</v>
      </c>
      <c r="R125" s="39">
        <f t="shared" si="60"/>
        <v>2.5862068965517242E-4</v>
      </c>
    </row>
    <row r="126" spans="5:18" ht="15" x14ac:dyDescent="0.2">
      <c r="E126" s="39" t="s">
        <v>117</v>
      </c>
      <c r="F126" s="39">
        <f t="shared" si="61"/>
        <v>0.27749999999999997</v>
      </c>
      <c r="G126" s="39">
        <f t="shared" si="62"/>
        <v>0.25125000000000003</v>
      </c>
      <c r="H126" s="39">
        <f t="shared" si="63"/>
        <v>0.24374999999999999</v>
      </c>
      <c r="I126" s="39">
        <f t="shared" si="64"/>
        <v>0.2225</v>
      </c>
      <c r="J126" s="39">
        <f t="shared" si="65"/>
        <v>3.3000000000000002E-2</v>
      </c>
      <c r="K126" s="39">
        <f t="shared" si="66"/>
        <v>4.6124999999999999E-2</v>
      </c>
      <c r="L126" s="39">
        <f t="shared" si="56"/>
        <v>0</v>
      </c>
      <c r="M126" s="39">
        <f t="shared" si="67"/>
        <v>0</v>
      </c>
      <c r="N126" s="3">
        <v>1.06</v>
      </c>
      <c r="O126" s="39">
        <f t="shared" si="57"/>
        <v>0.26179245283018865</v>
      </c>
      <c r="P126" s="39">
        <f t="shared" si="58"/>
        <v>0.23702830188679247</v>
      </c>
      <c r="Q126" s="39">
        <f t="shared" si="59"/>
        <v>4.3514150943396224E-2</v>
      </c>
      <c r="R126" s="39">
        <f t="shared" si="60"/>
        <v>0</v>
      </c>
    </row>
    <row r="127" spans="5:18" ht="15" x14ac:dyDescent="0.2">
      <c r="E127" s="39" t="s">
        <v>118</v>
      </c>
      <c r="F127" s="39">
        <f t="shared" si="61"/>
        <v>3.9874999999999998</v>
      </c>
      <c r="G127" s="39">
        <f t="shared" si="62"/>
        <v>2.95</v>
      </c>
      <c r="H127" s="39">
        <f t="shared" si="63"/>
        <v>1.8125</v>
      </c>
      <c r="I127" s="39">
        <f t="shared" si="64"/>
        <v>1.7749999999999999</v>
      </c>
      <c r="J127" s="39">
        <f t="shared" si="65"/>
        <v>0.27500000000000002</v>
      </c>
      <c r="K127" s="39">
        <f t="shared" si="66"/>
        <v>0.20624999999999999</v>
      </c>
      <c r="L127" s="39">
        <f t="shared" si="56"/>
        <v>0</v>
      </c>
      <c r="M127" s="39">
        <f t="shared" si="67"/>
        <v>0</v>
      </c>
      <c r="N127" s="3">
        <v>6.3</v>
      </c>
      <c r="O127" s="39">
        <f t="shared" si="57"/>
        <v>0.63293650793650791</v>
      </c>
      <c r="P127" s="39">
        <f t="shared" si="58"/>
        <v>0.46825396825396831</v>
      </c>
      <c r="Q127" s="39">
        <f t="shared" si="59"/>
        <v>4.3650793650793655E-2</v>
      </c>
      <c r="R127" s="39">
        <f t="shared" si="60"/>
        <v>0</v>
      </c>
    </row>
    <row r="128" spans="5:18" ht="15" x14ac:dyDescent="0.2">
      <c r="E128" s="39" t="s">
        <v>16</v>
      </c>
      <c r="F128" s="39">
        <f t="shared" si="61"/>
        <v>0.21749999999999997</v>
      </c>
      <c r="G128" s="39">
        <f t="shared" si="62"/>
        <v>0.21249999999999999</v>
      </c>
      <c r="H128" s="39">
        <f t="shared" si="63"/>
        <v>0.29874999999999996</v>
      </c>
      <c r="I128" s="39">
        <f t="shared" si="64"/>
        <v>0.35125000000000001</v>
      </c>
      <c r="J128" s="39">
        <f t="shared" si="65"/>
        <v>0.14874999999999999</v>
      </c>
      <c r="K128" s="39">
        <f t="shared" si="66"/>
        <v>0.14374999999999999</v>
      </c>
      <c r="L128" s="39">
        <f t="shared" si="56"/>
        <v>0</v>
      </c>
      <c r="M128" s="39">
        <f t="shared" si="67"/>
        <v>0</v>
      </c>
      <c r="N128" s="3">
        <v>1650</v>
      </c>
      <c r="O128" s="39">
        <f t="shared" si="57"/>
        <v>1.3181818181818181E-4</v>
      </c>
      <c r="P128" s="39">
        <f t="shared" si="58"/>
        <v>1.8106060606060603E-4</v>
      </c>
      <c r="Q128" s="39">
        <f t="shared" si="59"/>
        <v>9.0151515151515153E-5</v>
      </c>
      <c r="R128" s="39">
        <f t="shared" si="60"/>
        <v>0</v>
      </c>
    </row>
    <row r="129" spans="5:18" ht="15" x14ac:dyDescent="0.2">
      <c r="E129" s="39" t="s">
        <v>119</v>
      </c>
      <c r="F129" s="39">
        <f t="shared" si="61"/>
        <v>9.4250000000000007</v>
      </c>
      <c r="G129" s="39">
        <f t="shared" si="62"/>
        <v>10.175000000000001</v>
      </c>
      <c r="H129" s="39">
        <f t="shared" si="63"/>
        <v>12.5</v>
      </c>
      <c r="I129" s="39">
        <f t="shared" si="64"/>
        <v>12.324999999999999</v>
      </c>
      <c r="J129" s="39">
        <f t="shared" si="65"/>
        <v>3.2875000000000001</v>
      </c>
      <c r="K129" s="39">
        <f t="shared" si="66"/>
        <v>3.55</v>
      </c>
      <c r="L129" s="39">
        <f t="shared" si="56"/>
        <v>0.78625</v>
      </c>
      <c r="M129" s="39">
        <f t="shared" si="67"/>
        <v>0.76249999999999996</v>
      </c>
      <c r="N129" s="3">
        <v>34</v>
      </c>
      <c r="O129" s="39">
        <f t="shared" si="57"/>
        <v>0.29926470588235299</v>
      </c>
      <c r="P129" s="39">
        <f t="shared" si="58"/>
        <v>0.36764705882352944</v>
      </c>
      <c r="Q129" s="39">
        <f t="shared" si="59"/>
        <v>0.10441176470588234</v>
      </c>
      <c r="R129" s="39">
        <f t="shared" si="60"/>
        <v>2.3125E-2</v>
      </c>
    </row>
    <row r="130" spans="5:18" ht="15" x14ac:dyDescent="0.2">
      <c r="E130" s="39" t="s">
        <v>120</v>
      </c>
      <c r="F130" s="39">
        <f t="shared" si="61"/>
        <v>0</v>
      </c>
      <c r="G130" s="39">
        <f t="shared" si="62"/>
        <v>0</v>
      </c>
      <c r="H130" s="39">
        <f t="shared" si="63"/>
        <v>0</v>
      </c>
      <c r="I130" s="39">
        <f t="shared" si="64"/>
        <v>0</v>
      </c>
      <c r="J130" s="39">
        <f t="shared" si="65"/>
        <v>0</v>
      </c>
      <c r="K130" s="39">
        <f t="shared" si="66"/>
        <v>0</v>
      </c>
      <c r="L130" s="39">
        <f t="shared" si="56"/>
        <v>0</v>
      </c>
      <c r="M130" s="39">
        <f t="shared" si="67"/>
        <v>0</v>
      </c>
      <c r="N130" s="3">
        <v>11900</v>
      </c>
      <c r="O130" s="39">
        <f t="shared" si="57"/>
        <v>0</v>
      </c>
      <c r="P130" s="39">
        <f t="shared" si="58"/>
        <v>0</v>
      </c>
      <c r="Q130" s="39">
        <f t="shared" si="59"/>
        <v>0</v>
      </c>
      <c r="R130" s="39">
        <f t="shared" si="60"/>
        <v>0</v>
      </c>
    </row>
    <row r="131" spans="5:18" ht="15" x14ac:dyDescent="0.2">
      <c r="E131" s="39" t="s">
        <v>11</v>
      </c>
      <c r="F131" s="39">
        <f t="shared" si="61"/>
        <v>0</v>
      </c>
      <c r="G131" s="39">
        <f t="shared" si="62"/>
        <v>0</v>
      </c>
      <c r="H131" s="39">
        <f t="shared" si="63"/>
        <v>0</v>
      </c>
      <c r="I131" s="39">
        <f t="shared" si="64"/>
        <v>0</v>
      </c>
      <c r="J131" s="39">
        <f t="shared" si="65"/>
        <v>0</v>
      </c>
      <c r="K131" s="39">
        <f t="shared" si="66"/>
        <v>0</v>
      </c>
      <c r="L131" s="39">
        <f t="shared" si="56"/>
        <v>0</v>
      </c>
      <c r="M131" s="39">
        <f t="shared" si="67"/>
        <v>0</v>
      </c>
      <c r="N131" s="3">
        <v>37</v>
      </c>
      <c r="O131" s="39">
        <f t="shared" si="57"/>
        <v>0</v>
      </c>
      <c r="P131" s="39">
        <f t="shared" si="58"/>
        <v>0</v>
      </c>
      <c r="Q131" s="39">
        <f t="shared" si="59"/>
        <v>0</v>
      </c>
      <c r="R131" s="39">
        <f t="shared" si="60"/>
        <v>0</v>
      </c>
    </row>
    <row r="132" spans="5:18" ht="15" x14ac:dyDescent="0.2">
      <c r="E132" s="39" t="s">
        <v>121</v>
      </c>
      <c r="F132" s="39">
        <f t="shared" si="61"/>
        <v>3.6249999999999998E-2</v>
      </c>
      <c r="G132" s="39">
        <f t="shared" si="62"/>
        <v>0.03</v>
      </c>
      <c r="H132" s="39">
        <f t="shared" si="63"/>
        <v>4.3749999999999997E-2</v>
      </c>
      <c r="I132" s="39">
        <f t="shared" si="64"/>
        <v>4.4999999999999998E-2</v>
      </c>
      <c r="J132" s="39">
        <f t="shared" si="65"/>
        <v>1.3750000000000002E-2</v>
      </c>
      <c r="K132" s="39">
        <f t="shared" si="66"/>
        <v>1.2500000000000001E-2</v>
      </c>
      <c r="L132" s="39">
        <f t="shared" si="56"/>
        <v>0</v>
      </c>
      <c r="M132" s="39">
        <f t="shared" si="67"/>
        <v>0</v>
      </c>
      <c r="N132" s="3">
        <v>4.0999999999999996</v>
      </c>
      <c r="O132" s="39">
        <f t="shared" si="57"/>
        <v>8.8414634146341473E-3</v>
      </c>
      <c r="P132" s="39">
        <f t="shared" si="58"/>
        <v>1.0670731707317074E-2</v>
      </c>
      <c r="Q132" s="39">
        <f t="shared" si="59"/>
        <v>3.3536585365853667E-3</v>
      </c>
      <c r="R132" s="39">
        <f t="shared" si="60"/>
        <v>0</v>
      </c>
    </row>
    <row r="133" spans="5:18" ht="15" x14ac:dyDescent="0.2">
      <c r="E133" s="39" t="s">
        <v>122</v>
      </c>
      <c r="F133" s="39">
        <f t="shared" si="61"/>
        <v>18.25</v>
      </c>
      <c r="G133" s="39">
        <f t="shared" si="62"/>
        <v>21.75</v>
      </c>
      <c r="H133" s="39">
        <f t="shared" si="63"/>
        <v>23.375</v>
      </c>
      <c r="I133" s="39">
        <f t="shared" si="64"/>
        <v>24.125</v>
      </c>
      <c r="J133" s="39">
        <f t="shared" si="65"/>
        <v>7.65</v>
      </c>
      <c r="K133" s="39">
        <f t="shared" si="66"/>
        <v>7.9874999999999998</v>
      </c>
      <c r="L133" s="39">
        <f t="shared" si="56"/>
        <v>1.5874999999999999</v>
      </c>
      <c r="M133" s="39">
        <f t="shared" si="67"/>
        <v>1.5625</v>
      </c>
      <c r="N133" s="3">
        <v>14.4</v>
      </c>
      <c r="O133" s="39">
        <f t="shared" si="57"/>
        <v>1.5104166666666665</v>
      </c>
      <c r="P133" s="39">
        <f t="shared" si="58"/>
        <v>1.6232638888888888</v>
      </c>
      <c r="Q133" s="39">
        <f t="shared" si="59"/>
        <v>0.5546875</v>
      </c>
      <c r="R133" s="39">
        <f t="shared" si="60"/>
        <v>0.11024305555555555</v>
      </c>
    </row>
    <row r="134" spans="5:18" ht="15" x14ac:dyDescent="0.2">
      <c r="E134" s="39" t="s">
        <v>123</v>
      </c>
      <c r="F134" s="39">
        <f t="shared" si="61"/>
        <v>1.7999999999999999E-2</v>
      </c>
      <c r="G134" s="39">
        <f t="shared" si="62"/>
        <v>2.3375E-2</v>
      </c>
      <c r="H134" s="39">
        <f t="shared" si="63"/>
        <v>2.0749999999999998E-2</v>
      </c>
      <c r="I134" s="39">
        <f t="shared" si="64"/>
        <v>2.5124999999999998E-2</v>
      </c>
      <c r="J134" s="39">
        <f t="shared" si="65"/>
        <v>0</v>
      </c>
      <c r="K134" s="39">
        <f t="shared" si="66"/>
        <v>0</v>
      </c>
      <c r="L134" s="39">
        <f t="shared" si="56"/>
        <v>0</v>
      </c>
      <c r="M134" s="39">
        <f t="shared" si="67"/>
        <v>0</v>
      </c>
      <c r="N134" s="3">
        <v>0.19</v>
      </c>
      <c r="O134" s="39">
        <f t="shared" si="57"/>
        <v>0.12302631578947368</v>
      </c>
      <c r="P134" s="39">
        <f t="shared" si="58"/>
        <v>0.12302631578947368</v>
      </c>
      <c r="Q134" s="39">
        <f t="shared" si="59"/>
        <v>0</v>
      </c>
      <c r="R134" s="39">
        <f t="shared" si="60"/>
        <v>0</v>
      </c>
    </row>
    <row r="135" spans="5:18" ht="15" x14ac:dyDescent="0.2">
      <c r="E135" s="39" t="s">
        <v>124</v>
      </c>
      <c r="F135" s="39">
        <f t="shared" si="61"/>
        <v>0.16375000000000001</v>
      </c>
      <c r="G135" s="39">
        <f t="shared" si="62"/>
        <v>0.14250000000000002</v>
      </c>
      <c r="H135" s="39">
        <f t="shared" si="63"/>
        <v>0.22749999999999998</v>
      </c>
      <c r="I135" s="39">
        <f t="shared" si="64"/>
        <v>0.22125</v>
      </c>
      <c r="J135" s="39">
        <f t="shared" si="65"/>
        <v>6.0124999999999998E-2</v>
      </c>
      <c r="K135" s="39">
        <f t="shared" si="66"/>
        <v>6.8874999999999992E-2</v>
      </c>
      <c r="L135" s="39">
        <f t="shared" si="56"/>
        <v>1.2625000000000001E-2</v>
      </c>
      <c r="M135" s="39">
        <f t="shared" si="67"/>
        <v>1.2625000000000001E-2</v>
      </c>
      <c r="N135" s="3">
        <v>6.5</v>
      </c>
      <c r="O135" s="39">
        <f t="shared" si="57"/>
        <v>2.5192307692307694E-2</v>
      </c>
      <c r="P135" s="39">
        <f t="shared" si="58"/>
        <v>3.4999999999999996E-2</v>
      </c>
      <c r="Q135" s="39">
        <f t="shared" si="59"/>
        <v>1.0596153846153845E-2</v>
      </c>
      <c r="R135" s="39">
        <f t="shared" si="60"/>
        <v>1.9423076923076924E-3</v>
      </c>
    </row>
    <row r="136" spans="5:18" ht="15" x14ac:dyDescent="0.2">
      <c r="E136" s="39" t="s">
        <v>125</v>
      </c>
      <c r="F136" s="39">
        <f t="shared" si="61"/>
        <v>1.11625</v>
      </c>
      <c r="G136" s="39">
        <f t="shared" si="62"/>
        <v>0.92624999999999991</v>
      </c>
      <c r="H136" s="39">
        <f t="shared" si="63"/>
        <v>1.1025</v>
      </c>
      <c r="I136" s="39">
        <f t="shared" si="64"/>
        <v>1.0649999999999999</v>
      </c>
      <c r="J136" s="39">
        <f t="shared" si="65"/>
        <v>0.59375</v>
      </c>
      <c r="K136" s="39">
        <f t="shared" si="66"/>
        <v>0.87375000000000003</v>
      </c>
      <c r="L136" s="39">
        <f t="shared" si="56"/>
        <v>0.18625</v>
      </c>
      <c r="M136" s="39">
        <f t="shared" si="67"/>
        <v>0.17124999999999999</v>
      </c>
      <c r="N136" s="3">
        <v>20</v>
      </c>
      <c r="O136" s="39">
        <f t="shared" si="57"/>
        <v>5.5812500000000001E-2</v>
      </c>
      <c r="P136" s="39">
        <f t="shared" si="58"/>
        <v>5.5125E-2</v>
      </c>
      <c r="Q136" s="39">
        <f t="shared" si="59"/>
        <v>4.3687500000000004E-2</v>
      </c>
      <c r="R136" s="39">
        <f t="shared" si="60"/>
        <v>9.3124999999999996E-3</v>
      </c>
    </row>
    <row r="137" spans="5:18" ht="15" x14ac:dyDescent="0.2">
      <c r="E137" s="39" t="s">
        <v>126</v>
      </c>
      <c r="F137" s="39">
        <f t="shared" si="61"/>
        <v>0.22500000000000001</v>
      </c>
      <c r="G137" s="39">
        <f t="shared" si="62"/>
        <v>5.6000000000000008E-2</v>
      </c>
      <c r="H137" s="39">
        <f t="shared" si="63"/>
        <v>0.41624999999999995</v>
      </c>
      <c r="I137" s="39">
        <f t="shared" si="64"/>
        <v>0.32625000000000004</v>
      </c>
      <c r="J137" s="39">
        <f t="shared" si="65"/>
        <v>0</v>
      </c>
      <c r="K137" s="39">
        <f t="shared" si="66"/>
        <v>1.2625000000000001E-2</v>
      </c>
      <c r="L137" s="39">
        <f t="shared" si="56"/>
        <v>0</v>
      </c>
      <c r="M137" s="39">
        <f t="shared" si="67"/>
        <v>0</v>
      </c>
      <c r="N137" s="3">
        <v>2.4</v>
      </c>
      <c r="O137" s="39">
        <f t="shared" si="57"/>
        <v>9.375E-2</v>
      </c>
      <c r="P137" s="39">
        <f t="shared" si="58"/>
        <v>0.17343749999999999</v>
      </c>
      <c r="Q137" s="39">
        <f t="shared" si="59"/>
        <v>5.2604166666666676E-3</v>
      </c>
      <c r="R137" s="39">
        <f t="shared" si="60"/>
        <v>0</v>
      </c>
    </row>
    <row r="138" spans="5:18" ht="15" x14ac:dyDescent="0.2">
      <c r="E138" s="39" t="s">
        <v>127</v>
      </c>
      <c r="F138" s="39">
        <f t="shared" si="61"/>
        <v>5.5874999999999994E-2</v>
      </c>
      <c r="G138" s="39">
        <f t="shared" si="62"/>
        <v>5.4625E-2</v>
      </c>
      <c r="H138" s="39">
        <f t="shared" si="63"/>
        <v>7.9000000000000001E-2</v>
      </c>
      <c r="I138" s="39">
        <f t="shared" si="64"/>
        <v>7.3499999999999996E-2</v>
      </c>
      <c r="J138" s="39">
        <f t="shared" si="65"/>
        <v>2.6624999999999999E-2</v>
      </c>
      <c r="K138" s="39">
        <f t="shared" si="66"/>
        <v>2.8749999999999998E-2</v>
      </c>
      <c r="L138" s="39">
        <f t="shared" si="56"/>
        <v>0</v>
      </c>
      <c r="M138" s="39">
        <f t="shared" si="67"/>
        <v>0</v>
      </c>
      <c r="N138" s="3">
        <v>5.6</v>
      </c>
      <c r="O138" s="39">
        <f t="shared" si="57"/>
        <v>9.9776785714285714E-3</v>
      </c>
      <c r="P138" s="39">
        <f t="shared" si="58"/>
        <v>1.4107142857142858E-2</v>
      </c>
      <c r="Q138" s="39">
        <f t="shared" si="59"/>
        <v>5.1339285714285714E-3</v>
      </c>
      <c r="R138" s="39">
        <f t="shared" si="60"/>
        <v>0</v>
      </c>
    </row>
    <row r="139" spans="5:18" ht="15" x14ac:dyDescent="0.2">
      <c r="E139" s="39" t="s">
        <v>1</v>
      </c>
      <c r="F139" s="39">
        <f t="shared" si="61"/>
        <v>0</v>
      </c>
      <c r="G139" s="39">
        <f t="shared" si="62"/>
        <v>0</v>
      </c>
      <c r="H139" s="39">
        <f t="shared" si="63"/>
        <v>0</v>
      </c>
      <c r="I139" s="39">
        <f t="shared" si="64"/>
        <v>0</v>
      </c>
      <c r="J139" s="39">
        <f t="shared" si="65"/>
        <v>0</v>
      </c>
      <c r="K139" s="39">
        <f t="shared" si="66"/>
        <v>0</v>
      </c>
      <c r="L139" s="39">
        <f t="shared" si="56"/>
        <v>0</v>
      </c>
      <c r="M139" s="39">
        <f t="shared" si="67"/>
        <v>0</v>
      </c>
      <c r="N139" s="3">
        <v>28</v>
      </c>
      <c r="O139" s="39">
        <f t="shared" si="57"/>
        <v>0</v>
      </c>
      <c r="P139" s="39">
        <f t="shared" si="58"/>
        <v>0</v>
      </c>
      <c r="Q139" s="39">
        <f t="shared" si="59"/>
        <v>0</v>
      </c>
      <c r="R139" s="39">
        <f t="shared" si="60"/>
        <v>0</v>
      </c>
    </row>
    <row r="140" spans="5:18" ht="15" x14ac:dyDescent="0.2">
      <c r="E140" s="39" t="s">
        <v>0</v>
      </c>
      <c r="F140" s="39">
        <f t="shared" si="61"/>
        <v>307.95375000000001</v>
      </c>
      <c r="G140" s="39">
        <f t="shared" si="62"/>
        <v>0</v>
      </c>
      <c r="H140" s="39">
        <f t="shared" si="63"/>
        <v>0</v>
      </c>
      <c r="I140" s="39">
        <f t="shared" si="64"/>
        <v>0</v>
      </c>
      <c r="J140" s="39">
        <f t="shared" si="65"/>
        <v>0</v>
      </c>
      <c r="K140" s="39">
        <f t="shared" si="66"/>
        <v>0</v>
      </c>
      <c r="L140" s="39">
        <f t="shared" si="56"/>
        <v>0</v>
      </c>
      <c r="M140" s="39">
        <f t="shared" si="67"/>
        <v>0</v>
      </c>
      <c r="N140" s="3">
        <v>170</v>
      </c>
      <c r="O140" s="39">
        <f t="shared" si="57"/>
        <v>1.8114926470588235</v>
      </c>
      <c r="P140" s="39">
        <f t="shared" si="58"/>
        <v>0</v>
      </c>
      <c r="Q140" s="39">
        <f t="shared" si="59"/>
        <v>0</v>
      </c>
      <c r="R140" s="39">
        <f t="shared" si="60"/>
        <v>0</v>
      </c>
    </row>
    <row r="141" spans="5:18" ht="16" x14ac:dyDescent="0.2">
      <c r="E141" s="95" t="s">
        <v>99</v>
      </c>
      <c r="F141" s="97" t="s">
        <v>128</v>
      </c>
      <c r="G141" s="98"/>
      <c r="H141" s="98"/>
      <c r="I141" s="98"/>
      <c r="J141" s="98"/>
      <c r="K141" s="98"/>
      <c r="L141" s="98"/>
      <c r="M141" s="98"/>
      <c r="N141" s="59" t="s">
        <v>104</v>
      </c>
      <c r="O141" s="47" t="s">
        <v>105</v>
      </c>
      <c r="P141" s="48" t="s">
        <v>106</v>
      </c>
      <c r="Q141" s="48" t="s">
        <v>107</v>
      </c>
      <c r="R141" s="49" t="s">
        <v>108</v>
      </c>
    </row>
    <row r="142" spans="5:18" ht="15" x14ac:dyDescent="0.2">
      <c r="E142" s="96"/>
      <c r="F142" s="51">
        <v>100</v>
      </c>
      <c r="G142" s="51">
        <v>100</v>
      </c>
      <c r="H142" s="51">
        <v>100</v>
      </c>
      <c r="I142" s="51">
        <v>100</v>
      </c>
      <c r="J142" s="51">
        <v>100</v>
      </c>
      <c r="K142" s="51">
        <v>100</v>
      </c>
      <c r="L142" s="51">
        <v>100</v>
      </c>
      <c r="M142" s="51">
        <v>100</v>
      </c>
      <c r="N142" s="60" t="s">
        <v>113</v>
      </c>
      <c r="O142" s="47" t="s">
        <v>27</v>
      </c>
      <c r="P142" s="48" t="s">
        <v>27</v>
      </c>
      <c r="Q142" s="48" t="s">
        <v>27</v>
      </c>
      <c r="R142" s="49" t="s">
        <v>27</v>
      </c>
    </row>
    <row r="143" spans="5:18" ht="15" x14ac:dyDescent="0.2">
      <c r="E143" s="39" t="s">
        <v>114</v>
      </c>
      <c r="F143" s="39">
        <f>F3/$F$142</f>
        <v>1.0899999999999999E-4</v>
      </c>
      <c r="G143" s="39">
        <f>G3/$G$142</f>
        <v>5.4999999999999995E-5</v>
      </c>
      <c r="H143" s="39">
        <f>H3/$H$142</f>
        <v>1.06E-4</v>
      </c>
      <c r="I143" s="39">
        <f>I3/$I$142</f>
        <v>1.0899999999999999E-4</v>
      </c>
      <c r="J143" s="39">
        <f>J3/$J$142</f>
        <v>6.1000000000000005E-5</v>
      </c>
      <c r="K143" s="39">
        <f>K3/$K$142</f>
        <v>0</v>
      </c>
      <c r="L143" s="39">
        <f t="shared" ref="L143:L160" si="68">L3/$L$142</f>
        <v>0</v>
      </c>
      <c r="M143" s="39">
        <f t="shared" ref="M143:M160" si="69">M3/$M$142</f>
        <v>0</v>
      </c>
      <c r="N143" s="7">
        <v>5.7000000000000002E-2</v>
      </c>
      <c r="O143" s="39">
        <f>MAX(F143:G143)/N143</f>
        <v>1.9122807017543859E-3</v>
      </c>
      <c r="P143" s="39">
        <f>MAX(G143:H143)/N143</f>
        <v>1.8596491228070175E-3</v>
      </c>
      <c r="Q143" s="39">
        <f>MAX(J143:K143)/N143</f>
        <v>1.0701754385964912E-3</v>
      </c>
      <c r="R143" s="39">
        <f>MAX(L143:M143)/N143</f>
        <v>0</v>
      </c>
    </row>
    <row r="144" spans="5:18" ht="15" x14ac:dyDescent="0.2">
      <c r="E144" s="39" t="s">
        <v>115</v>
      </c>
      <c r="F144" s="39">
        <f>F4/$F$142</f>
        <v>1.04</v>
      </c>
      <c r="G144" s="39">
        <f>G4/$G$142</f>
        <v>0.86599999999999999</v>
      </c>
      <c r="H144" s="39">
        <f>H4/$H$142</f>
        <v>1.1599999999999999</v>
      </c>
      <c r="I144" s="39">
        <f>I4/$I$142</f>
        <v>1.1599999999999999</v>
      </c>
      <c r="J144" s="39">
        <f>J4/$J$142</f>
        <v>7.4400000000000008E-2</v>
      </c>
      <c r="K144" s="39">
        <f>K4/$K$142</f>
        <v>0.125</v>
      </c>
      <c r="L144" s="39">
        <f t="shared" si="68"/>
        <v>2.1000000000000001E-2</v>
      </c>
      <c r="M144" s="39">
        <f t="shared" si="69"/>
        <v>1.9599999999999999E-2</v>
      </c>
      <c r="N144" s="7">
        <v>114.7</v>
      </c>
      <c r="O144" s="39">
        <f t="shared" ref="O144:O160" si="70">MAX(F144:G144)/N144</f>
        <v>9.0671316477768087E-3</v>
      </c>
      <c r="P144" s="39">
        <f t="shared" ref="P144:P160" si="71">MAX(G144:H144)/N144</f>
        <v>1.0113339145597209E-2</v>
      </c>
      <c r="Q144" s="39">
        <f t="shared" ref="Q144:Q160" si="72">MAX(J144:K144)/N144</f>
        <v>1.089799476896251E-3</v>
      </c>
      <c r="R144" s="39">
        <f t="shared" ref="R144:R160" si="73">MAX(L144:M144)/N144</f>
        <v>1.8308631211857019E-4</v>
      </c>
    </row>
    <row r="145" spans="5:18" ht="15" x14ac:dyDescent="0.2">
      <c r="E145" s="39" t="s">
        <v>116</v>
      </c>
      <c r="F145" s="39">
        <f t="shared" ref="F145:F160" si="74">F5/$F$142</f>
        <v>1.42</v>
      </c>
      <c r="G145" s="39">
        <f t="shared" ref="G145:G160" si="75">G5/$G$142</f>
        <v>1.34</v>
      </c>
      <c r="H145" s="39">
        <f t="shared" ref="H145:H160" si="76">H5/$H$142</f>
        <v>2.52</v>
      </c>
      <c r="I145" s="39">
        <f t="shared" ref="I145:I160" si="77">I5/$I$142</f>
        <v>2.2200000000000002</v>
      </c>
      <c r="J145" s="39">
        <f t="shared" ref="J145:J160" si="78">J5/$J$142</f>
        <v>1.39</v>
      </c>
      <c r="K145" s="39">
        <f t="shared" ref="K145:K160" si="79">K5/$K$142</f>
        <v>1.39</v>
      </c>
      <c r="L145" s="39">
        <f t="shared" si="68"/>
        <v>0.6</v>
      </c>
      <c r="M145" s="39">
        <f t="shared" si="69"/>
        <v>0.54</v>
      </c>
      <c r="N145" s="6">
        <v>2900</v>
      </c>
      <c r="O145" s="39">
        <f t="shared" si="70"/>
        <v>4.8965517241379307E-4</v>
      </c>
      <c r="P145" s="39">
        <f t="shared" si="71"/>
        <v>8.6896551724137937E-4</v>
      </c>
      <c r="Q145" s="39">
        <f t="shared" si="72"/>
        <v>4.7931034482758618E-4</v>
      </c>
      <c r="R145" s="39">
        <f t="shared" si="73"/>
        <v>2.0689655172413793E-4</v>
      </c>
    </row>
    <row r="146" spans="5:18" ht="15" x14ac:dyDescent="0.2">
      <c r="E146" s="39" t="s">
        <v>117</v>
      </c>
      <c r="F146" s="39">
        <f t="shared" si="74"/>
        <v>0.222</v>
      </c>
      <c r="G146" s="39">
        <f t="shared" si="75"/>
        <v>0.20100000000000001</v>
      </c>
      <c r="H146" s="39">
        <f t="shared" si="76"/>
        <v>0.19500000000000001</v>
      </c>
      <c r="I146" s="39">
        <f t="shared" si="77"/>
        <v>0.17800000000000002</v>
      </c>
      <c r="J146" s="39">
        <f t="shared" si="78"/>
        <v>2.64E-2</v>
      </c>
      <c r="K146" s="39">
        <f t="shared" si="79"/>
        <v>3.6900000000000002E-2</v>
      </c>
      <c r="L146" s="39">
        <f t="shared" si="68"/>
        <v>0</v>
      </c>
      <c r="M146" s="39">
        <f t="shared" si="69"/>
        <v>0</v>
      </c>
      <c r="N146" s="3">
        <v>1.06</v>
      </c>
      <c r="O146" s="39">
        <f t="shared" si="70"/>
        <v>0.20943396226415092</v>
      </c>
      <c r="P146" s="39">
        <f t="shared" si="71"/>
        <v>0.18962264150943398</v>
      </c>
      <c r="Q146" s="39">
        <f t="shared" si="72"/>
        <v>3.4811320754716983E-2</v>
      </c>
      <c r="R146" s="39">
        <f t="shared" si="73"/>
        <v>0</v>
      </c>
    </row>
    <row r="147" spans="5:18" ht="15" x14ac:dyDescent="0.2">
      <c r="E147" s="39" t="s">
        <v>118</v>
      </c>
      <c r="F147" s="39">
        <f t="shared" si="74"/>
        <v>3.19</v>
      </c>
      <c r="G147" s="39">
        <f t="shared" si="75"/>
        <v>2.36</v>
      </c>
      <c r="H147" s="39">
        <f t="shared" si="76"/>
        <v>1.45</v>
      </c>
      <c r="I147" s="39">
        <f t="shared" si="77"/>
        <v>1.42</v>
      </c>
      <c r="J147" s="39">
        <f t="shared" si="78"/>
        <v>0.22</v>
      </c>
      <c r="K147" s="39">
        <f t="shared" si="79"/>
        <v>0.16500000000000001</v>
      </c>
      <c r="L147" s="39">
        <f t="shared" si="68"/>
        <v>0</v>
      </c>
      <c r="M147" s="39">
        <f t="shared" si="69"/>
        <v>0</v>
      </c>
      <c r="N147" s="3">
        <v>6.3</v>
      </c>
      <c r="O147" s="39">
        <f t="shared" si="70"/>
        <v>0.50634920634920633</v>
      </c>
      <c r="P147" s="39">
        <f t="shared" si="71"/>
        <v>0.3746031746031746</v>
      </c>
      <c r="Q147" s="39">
        <f t="shared" si="72"/>
        <v>3.4920634920634921E-2</v>
      </c>
      <c r="R147" s="39">
        <f t="shared" si="73"/>
        <v>0</v>
      </c>
    </row>
    <row r="148" spans="5:18" ht="15" x14ac:dyDescent="0.2">
      <c r="E148" s="39" t="s">
        <v>16</v>
      </c>
      <c r="F148" s="39">
        <f t="shared" si="74"/>
        <v>0.17399999999999999</v>
      </c>
      <c r="G148" s="39">
        <f t="shared" si="75"/>
        <v>0.17</v>
      </c>
      <c r="H148" s="39">
        <f t="shared" si="76"/>
        <v>0.23899999999999999</v>
      </c>
      <c r="I148" s="39">
        <f t="shared" si="77"/>
        <v>0.28100000000000003</v>
      </c>
      <c r="J148" s="39">
        <f t="shared" si="78"/>
        <v>0.11900000000000001</v>
      </c>
      <c r="K148" s="39">
        <f t="shared" si="79"/>
        <v>0.115</v>
      </c>
      <c r="L148" s="39">
        <f t="shared" si="68"/>
        <v>0</v>
      </c>
      <c r="M148" s="39">
        <f t="shared" si="69"/>
        <v>0</v>
      </c>
      <c r="N148" s="3">
        <v>1650</v>
      </c>
      <c r="O148" s="39">
        <f t="shared" si="70"/>
        <v>1.0545454545454545E-4</v>
      </c>
      <c r="P148" s="39">
        <f t="shared" si="71"/>
        <v>1.4484848484848484E-4</v>
      </c>
      <c r="Q148" s="39">
        <f t="shared" si="72"/>
        <v>7.2121212121212125E-5</v>
      </c>
      <c r="R148" s="39">
        <f t="shared" si="73"/>
        <v>0</v>
      </c>
    </row>
    <row r="149" spans="5:18" ht="15" x14ac:dyDescent="0.2">
      <c r="E149" s="39" t="s">
        <v>119</v>
      </c>
      <c r="F149" s="39">
        <f t="shared" si="74"/>
        <v>7.54</v>
      </c>
      <c r="G149" s="39">
        <f t="shared" si="75"/>
        <v>8.14</v>
      </c>
      <c r="H149" s="39">
        <f t="shared" si="76"/>
        <v>10</v>
      </c>
      <c r="I149" s="39">
        <f t="shared" si="77"/>
        <v>9.86</v>
      </c>
      <c r="J149" s="39">
        <f t="shared" si="78"/>
        <v>2.63</v>
      </c>
      <c r="K149" s="39">
        <f t="shared" si="79"/>
        <v>2.84</v>
      </c>
      <c r="L149" s="39">
        <f t="shared" si="68"/>
        <v>0.629</v>
      </c>
      <c r="M149" s="39">
        <f t="shared" si="69"/>
        <v>0.61</v>
      </c>
      <c r="N149" s="3">
        <v>34</v>
      </c>
      <c r="O149" s="39">
        <f t="shared" si="70"/>
        <v>0.23941176470588238</v>
      </c>
      <c r="P149" s="39">
        <f t="shared" si="71"/>
        <v>0.29411764705882354</v>
      </c>
      <c r="Q149" s="39">
        <f t="shared" si="72"/>
        <v>8.352941176470588E-2</v>
      </c>
      <c r="R149" s="39">
        <f t="shared" si="73"/>
        <v>1.8499999999999999E-2</v>
      </c>
    </row>
    <row r="150" spans="5:18" ht="15" x14ac:dyDescent="0.2">
      <c r="E150" s="39" t="s">
        <v>120</v>
      </c>
      <c r="F150" s="39">
        <f t="shared" si="74"/>
        <v>0</v>
      </c>
      <c r="G150" s="39">
        <f t="shared" si="75"/>
        <v>0</v>
      </c>
      <c r="H150" s="39">
        <f t="shared" si="76"/>
        <v>0</v>
      </c>
      <c r="I150" s="39">
        <f t="shared" si="77"/>
        <v>0</v>
      </c>
      <c r="J150" s="39">
        <f t="shared" si="78"/>
        <v>0</v>
      </c>
      <c r="K150" s="39">
        <f t="shared" si="79"/>
        <v>0</v>
      </c>
      <c r="L150" s="39">
        <f t="shared" si="68"/>
        <v>0</v>
      </c>
      <c r="M150" s="39">
        <f t="shared" si="69"/>
        <v>0</v>
      </c>
      <c r="N150" s="3">
        <v>11900</v>
      </c>
      <c r="O150" s="39">
        <f t="shared" si="70"/>
        <v>0</v>
      </c>
      <c r="P150" s="39">
        <f t="shared" si="71"/>
        <v>0</v>
      </c>
      <c r="Q150" s="39">
        <f t="shared" si="72"/>
        <v>0</v>
      </c>
      <c r="R150" s="39">
        <f t="shared" si="73"/>
        <v>0</v>
      </c>
    </row>
    <row r="151" spans="5:18" ht="15" x14ac:dyDescent="0.2">
      <c r="E151" s="39" t="s">
        <v>11</v>
      </c>
      <c r="F151" s="39">
        <f t="shared" si="74"/>
        <v>0</v>
      </c>
      <c r="G151" s="39">
        <f t="shared" si="75"/>
        <v>0</v>
      </c>
      <c r="H151" s="39">
        <f t="shared" si="76"/>
        <v>0</v>
      </c>
      <c r="I151" s="39">
        <f t="shared" si="77"/>
        <v>0</v>
      </c>
      <c r="J151" s="39">
        <f t="shared" si="78"/>
        <v>0</v>
      </c>
      <c r="K151" s="39">
        <f t="shared" si="79"/>
        <v>0</v>
      </c>
      <c r="L151" s="39">
        <f t="shared" si="68"/>
        <v>0</v>
      </c>
      <c r="M151" s="39">
        <f t="shared" si="69"/>
        <v>0</v>
      </c>
      <c r="N151" s="3">
        <v>37</v>
      </c>
      <c r="O151" s="39">
        <f t="shared" si="70"/>
        <v>0</v>
      </c>
      <c r="P151" s="39">
        <f t="shared" si="71"/>
        <v>0</v>
      </c>
      <c r="Q151" s="39">
        <f t="shared" si="72"/>
        <v>0</v>
      </c>
      <c r="R151" s="39">
        <f t="shared" si="73"/>
        <v>0</v>
      </c>
    </row>
    <row r="152" spans="5:18" ht="15" x14ac:dyDescent="0.2">
      <c r="E152" s="39" t="s">
        <v>121</v>
      </c>
      <c r="F152" s="39">
        <f t="shared" si="74"/>
        <v>2.8999999999999998E-2</v>
      </c>
      <c r="G152" s="39">
        <f t="shared" si="75"/>
        <v>2.4E-2</v>
      </c>
      <c r="H152" s="39">
        <f t="shared" si="76"/>
        <v>3.5000000000000003E-2</v>
      </c>
      <c r="I152" s="39">
        <f t="shared" si="77"/>
        <v>3.6000000000000004E-2</v>
      </c>
      <c r="J152" s="39">
        <f t="shared" si="78"/>
        <v>1.1000000000000001E-2</v>
      </c>
      <c r="K152" s="39">
        <f t="shared" si="79"/>
        <v>0.01</v>
      </c>
      <c r="L152" s="39">
        <f t="shared" si="68"/>
        <v>0</v>
      </c>
      <c r="M152" s="39">
        <f t="shared" si="69"/>
        <v>0</v>
      </c>
      <c r="N152" s="3">
        <v>4.0999999999999996</v>
      </c>
      <c r="O152" s="39">
        <f t="shared" si="70"/>
        <v>7.0731707317073173E-3</v>
      </c>
      <c r="P152" s="39">
        <f t="shared" si="71"/>
        <v>8.5365853658536609E-3</v>
      </c>
      <c r="Q152" s="39">
        <f t="shared" si="72"/>
        <v>2.6829268292682933E-3</v>
      </c>
      <c r="R152" s="39">
        <f t="shared" si="73"/>
        <v>0</v>
      </c>
    </row>
    <row r="153" spans="5:18" ht="15" x14ac:dyDescent="0.2">
      <c r="E153" s="39" t="s">
        <v>122</v>
      </c>
      <c r="F153" s="39">
        <f t="shared" si="74"/>
        <v>14.6</v>
      </c>
      <c r="G153" s="39">
        <f t="shared" si="75"/>
        <v>17.399999999999999</v>
      </c>
      <c r="H153" s="39">
        <f t="shared" si="76"/>
        <v>18.7</v>
      </c>
      <c r="I153" s="39">
        <f t="shared" si="77"/>
        <v>19.3</v>
      </c>
      <c r="J153" s="39">
        <f t="shared" si="78"/>
        <v>6.12</v>
      </c>
      <c r="K153" s="39">
        <f t="shared" si="79"/>
        <v>6.39</v>
      </c>
      <c r="L153" s="39">
        <f t="shared" si="68"/>
        <v>1.27</v>
      </c>
      <c r="M153" s="39">
        <f t="shared" si="69"/>
        <v>1.25</v>
      </c>
      <c r="N153" s="3">
        <v>14.4</v>
      </c>
      <c r="O153" s="39">
        <f t="shared" si="70"/>
        <v>1.2083333333333333</v>
      </c>
      <c r="P153" s="39">
        <f t="shared" si="71"/>
        <v>1.2986111111111109</v>
      </c>
      <c r="Q153" s="39">
        <f t="shared" si="72"/>
        <v>0.44374999999999998</v>
      </c>
      <c r="R153" s="39">
        <f t="shared" si="73"/>
        <v>8.819444444444445E-2</v>
      </c>
    </row>
    <row r="154" spans="5:18" ht="15" x14ac:dyDescent="0.2">
      <c r="E154" s="39" t="s">
        <v>123</v>
      </c>
      <c r="F154" s="39">
        <f t="shared" si="74"/>
        <v>1.44E-2</v>
      </c>
      <c r="G154" s="39">
        <f t="shared" si="75"/>
        <v>1.8700000000000001E-2</v>
      </c>
      <c r="H154" s="39">
        <f t="shared" si="76"/>
        <v>1.66E-2</v>
      </c>
      <c r="I154" s="39">
        <f t="shared" si="77"/>
        <v>2.0099999999999996E-2</v>
      </c>
      <c r="J154" s="39">
        <f t="shared" si="78"/>
        <v>0</v>
      </c>
      <c r="K154" s="39">
        <f t="shared" si="79"/>
        <v>0</v>
      </c>
      <c r="L154" s="39">
        <f t="shared" si="68"/>
        <v>0</v>
      </c>
      <c r="M154" s="39">
        <f t="shared" si="69"/>
        <v>0</v>
      </c>
      <c r="N154" s="3">
        <v>0.19</v>
      </c>
      <c r="O154" s="39">
        <f t="shared" si="70"/>
        <v>9.8421052631578951E-2</v>
      </c>
      <c r="P154" s="39">
        <f t="shared" si="71"/>
        <v>9.8421052631578951E-2</v>
      </c>
      <c r="Q154" s="39">
        <f t="shared" si="72"/>
        <v>0</v>
      </c>
      <c r="R154" s="39">
        <f t="shared" si="73"/>
        <v>0</v>
      </c>
    </row>
    <row r="155" spans="5:18" ht="15" x14ac:dyDescent="0.2">
      <c r="E155" s="39" t="s">
        <v>124</v>
      </c>
      <c r="F155" s="39">
        <f t="shared" si="74"/>
        <v>0.13100000000000001</v>
      </c>
      <c r="G155" s="39">
        <f t="shared" si="75"/>
        <v>0.114</v>
      </c>
      <c r="H155" s="39">
        <f t="shared" si="76"/>
        <v>0.182</v>
      </c>
      <c r="I155" s="39">
        <f t="shared" si="77"/>
        <v>0.17699999999999999</v>
      </c>
      <c r="J155" s="39">
        <f t="shared" si="78"/>
        <v>4.8099999999999997E-2</v>
      </c>
      <c r="K155" s="39">
        <f t="shared" si="79"/>
        <v>5.5099999999999996E-2</v>
      </c>
      <c r="L155" s="39">
        <f t="shared" si="68"/>
        <v>1.01E-2</v>
      </c>
      <c r="M155" s="39">
        <f t="shared" si="69"/>
        <v>1.01E-2</v>
      </c>
      <c r="N155" s="3">
        <v>6.5</v>
      </c>
      <c r="O155" s="39">
        <f t="shared" si="70"/>
        <v>2.0153846153846154E-2</v>
      </c>
      <c r="P155" s="39">
        <f t="shared" si="71"/>
        <v>2.8000000000000001E-2</v>
      </c>
      <c r="Q155" s="39">
        <f t="shared" si="72"/>
        <v>8.4769230769230763E-3</v>
      </c>
      <c r="R155" s="39">
        <f t="shared" si="73"/>
        <v>1.5538461538461537E-3</v>
      </c>
    </row>
    <row r="156" spans="5:18" ht="15" x14ac:dyDescent="0.2">
      <c r="E156" s="39" t="s">
        <v>125</v>
      </c>
      <c r="F156" s="39">
        <f t="shared" si="74"/>
        <v>0.89300000000000002</v>
      </c>
      <c r="G156" s="39">
        <f t="shared" si="75"/>
        <v>0.74099999999999999</v>
      </c>
      <c r="H156" s="39">
        <f t="shared" si="76"/>
        <v>0.88200000000000001</v>
      </c>
      <c r="I156" s="39">
        <f t="shared" si="77"/>
        <v>0.85199999999999998</v>
      </c>
      <c r="J156" s="39">
        <f t="shared" si="78"/>
        <v>0.47499999999999998</v>
      </c>
      <c r="K156" s="39">
        <f t="shared" si="79"/>
        <v>0.69900000000000007</v>
      </c>
      <c r="L156" s="39">
        <f t="shared" si="68"/>
        <v>0.14899999999999999</v>
      </c>
      <c r="M156" s="39">
        <f t="shared" si="69"/>
        <v>0.13699999999999998</v>
      </c>
      <c r="N156" s="3">
        <v>20</v>
      </c>
      <c r="O156" s="39">
        <f t="shared" si="70"/>
        <v>4.4650000000000002E-2</v>
      </c>
      <c r="P156" s="39">
        <f t="shared" si="71"/>
        <v>4.41E-2</v>
      </c>
      <c r="Q156" s="39">
        <f t="shared" si="72"/>
        <v>3.4950000000000002E-2</v>
      </c>
      <c r="R156" s="39">
        <f t="shared" si="73"/>
        <v>7.45E-3</v>
      </c>
    </row>
    <row r="157" spans="5:18" ht="15" x14ac:dyDescent="0.2">
      <c r="E157" s="39" t="s">
        <v>126</v>
      </c>
      <c r="F157" s="39">
        <f t="shared" si="74"/>
        <v>0.18</v>
      </c>
      <c r="G157" s="39">
        <f t="shared" si="75"/>
        <v>4.4800000000000006E-2</v>
      </c>
      <c r="H157" s="39">
        <f t="shared" si="76"/>
        <v>0.33299999999999996</v>
      </c>
      <c r="I157" s="39">
        <f t="shared" si="77"/>
        <v>0.26100000000000001</v>
      </c>
      <c r="J157" s="39">
        <f t="shared" si="78"/>
        <v>0</v>
      </c>
      <c r="K157" s="39">
        <f t="shared" si="79"/>
        <v>1.01E-2</v>
      </c>
      <c r="L157" s="39">
        <f t="shared" si="68"/>
        <v>0</v>
      </c>
      <c r="M157" s="39">
        <f t="shared" si="69"/>
        <v>0</v>
      </c>
      <c r="N157" s="3">
        <v>2.4</v>
      </c>
      <c r="O157" s="39">
        <f t="shared" si="70"/>
        <v>7.4999999999999997E-2</v>
      </c>
      <c r="P157" s="39">
        <f t="shared" si="71"/>
        <v>0.13874999999999998</v>
      </c>
      <c r="Q157" s="39">
        <f t="shared" si="72"/>
        <v>4.208333333333333E-3</v>
      </c>
      <c r="R157" s="39">
        <f t="shared" si="73"/>
        <v>0</v>
      </c>
    </row>
    <row r="158" spans="5:18" ht="15" x14ac:dyDescent="0.2">
      <c r="E158" s="39" t="s">
        <v>127</v>
      </c>
      <c r="F158" s="39">
        <f t="shared" si="74"/>
        <v>4.4699999999999997E-2</v>
      </c>
      <c r="G158" s="39">
        <f t="shared" si="75"/>
        <v>4.3700000000000003E-2</v>
      </c>
      <c r="H158" s="39">
        <f t="shared" si="76"/>
        <v>6.3200000000000006E-2</v>
      </c>
      <c r="I158" s="39">
        <f t="shared" si="77"/>
        <v>5.8799999999999998E-2</v>
      </c>
      <c r="J158" s="39">
        <f t="shared" si="78"/>
        <v>2.1299999999999999E-2</v>
      </c>
      <c r="K158" s="39">
        <f t="shared" si="79"/>
        <v>2.3E-2</v>
      </c>
      <c r="L158" s="39">
        <f t="shared" si="68"/>
        <v>0</v>
      </c>
      <c r="M158" s="39">
        <f t="shared" si="69"/>
        <v>0</v>
      </c>
      <c r="N158" s="3">
        <v>5.6</v>
      </c>
      <c r="O158" s="39">
        <f t="shared" si="70"/>
        <v>7.9821428571428578E-3</v>
      </c>
      <c r="P158" s="39">
        <f t="shared" si="71"/>
        <v>1.1285714285714288E-2</v>
      </c>
      <c r="Q158" s="39">
        <f t="shared" si="72"/>
        <v>4.1071428571428569E-3</v>
      </c>
      <c r="R158" s="39">
        <f t="shared" si="73"/>
        <v>0</v>
      </c>
    </row>
    <row r="159" spans="5:18" ht="15" x14ac:dyDescent="0.2">
      <c r="E159" s="39" t="s">
        <v>1</v>
      </c>
      <c r="F159" s="39">
        <f t="shared" si="74"/>
        <v>0</v>
      </c>
      <c r="G159" s="39">
        <f t="shared" si="75"/>
        <v>0</v>
      </c>
      <c r="H159" s="39">
        <f t="shared" si="76"/>
        <v>0</v>
      </c>
      <c r="I159" s="39">
        <f t="shared" si="77"/>
        <v>0</v>
      </c>
      <c r="J159" s="39">
        <f t="shared" si="78"/>
        <v>0</v>
      </c>
      <c r="K159" s="39">
        <f t="shared" si="79"/>
        <v>0</v>
      </c>
      <c r="L159" s="39">
        <f t="shared" si="68"/>
        <v>0</v>
      </c>
      <c r="M159" s="39">
        <f t="shared" si="69"/>
        <v>0</v>
      </c>
      <c r="N159" s="3">
        <v>28</v>
      </c>
      <c r="O159" s="39">
        <f t="shared" si="70"/>
        <v>0</v>
      </c>
      <c r="P159" s="39">
        <f t="shared" si="71"/>
        <v>0</v>
      </c>
      <c r="Q159" s="39">
        <f t="shared" si="72"/>
        <v>0</v>
      </c>
      <c r="R159" s="39">
        <f t="shared" si="73"/>
        <v>0</v>
      </c>
    </row>
    <row r="160" spans="5:18" ht="15" x14ac:dyDescent="0.2">
      <c r="E160" s="39" t="s">
        <v>0</v>
      </c>
      <c r="F160" s="39">
        <f t="shared" si="74"/>
        <v>246.363</v>
      </c>
      <c r="G160" s="39">
        <f t="shared" si="75"/>
        <v>0</v>
      </c>
      <c r="H160" s="39">
        <f t="shared" si="76"/>
        <v>0</v>
      </c>
      <c r="I160" s="39">
        <f t="shared" si="77"/>
        <v>0</v>
      </c>
      <c r="J160" s="39">
        <f t="shared" si="78"/>
        <v>0</v>
      </c>
      <c r="K160" s="39">
        <f t="shared" si="79"/>
        <v>0</v>
      </c>
      <c r="L160" s="39">
        <f t="shared" si="68"/>
        <v>0</v>
      </c>
      <c r="M160" s="39">
        <f t="shared" si="69"/>
        <v>0</v>
      </c>
      <c r="N160" s="3">
        <v>170</v>
      </c>
      <c r="O160" s="39">
        <f t="shared" si="70"/>
        <v>1.4491941176470589</v>
      </c>
      <c r="P160" s="39">
        <f t="shared" si="71"/>
        <v>0</v>
      </c>
      <c r="Q160" s="39">
        <f t="shared" si="72"/>
        <v>0</v>
      </c>
      <c r="R160" s="39">
        <f t="shared" si="73"/>
        <v>0</v>
      </c>
    </row>
    <row r="161" spans="5:18" ht="16" x14ac:dyDescent="0.2">
      <c r="E161" s="95" t="s">
        <v>99</v>
      </c>
      <c r="F161" s="97" t="s">
        <v>128</v>
      </c>
      <c r="G161" s="98"/>
      <c r="H161" s="98"/>
      <c r="I161" s="98"/>
      <c r="J161" s="98"/>
      <c r="K161" s="98"/>
      <c r="L161" s="98"/>
      <c r="M161" s="98"/>
      <c r="N161" s="59" t="s">
        <v>104</v>
      </c>
      <c r="O161" s="47" t="s">
        <v>105</v>
      </c>
      <c r="P161" s="48" t="s">
        <v>106</v>
      </c>
      <c r="Q161" s="48" t="s">
        <v>107</v>
      </c>
      <c r="R161" s="49" t="s">
        <v>108</v>
      </c>
    </row>
    <row r="162" spans="5:18" ht="15" x14ac:dyDescent="0.2">
      <c r="E162" s="96"/>
      <c r="F162" s="51">
        <v>120</v>
      </c>
      <c r="G162" s="51">
        <v>120</v>
      </c>
      <c r="H162" s="51">
        <v>120</v>
      </c>
      <c r="I162" s="51">
        <v>120</v>
      </c>
      <c r="J162" s="51">
        <v>120</v>
      </c>
      <c r="K162" s="51">
        <v>120</v>
      </c>
      <c r="L162" s="51">
        <v>120</v>
      </c>
      <c r="M162" s="51">
        <v>120</v>
      </c>
      <c r="N162" s="60" t="s">
        <v>113</v>
      </c>
      <c r="O162" s="47" t="s">
        <v>27</v>
      </c>
      <c r="P162" s="48" t="s">
        <v>27</v>
      </c>
      <c r="Q162" s="48" t="s">
        <v>27</v>
      </c>
      <c r="R162" s="49" t="s">
        <v>27</v>
      </c>
    </row>
    <row r="163" spans="5:18" ht="15" x14ac:dyDescent="0.2">
      <c r="E163" s="39" t="s">
        <v>114</v>
      </c>
      <c r="F163" s="39">
        <f>F3/$F$162</f>
        <v>9.0833333333333337E-5</v>
      </c>
      <c r="G163" s="39">
        <f>G3/$G$162</f>
        <v>4.5833333333333334E-5</v>
      </c>
      <c r="H163" s="39">
        <f>H3/$H$162</f>
        <v>8.833333333333333E-5</v>
      </c>
      <c r="I163" s="39">
        <f>I3/$I$162</f>
        <v>9.0833333333333337E-5</v>
      </c>
      <c r="J163" s="39">
        <f t="shared" ref="J163:J180" si="80">J3/$J$162</f>
        <v>5.0833333333333333E-5</v>
      </c>
      <c r="K163" s="39">
        <f>K3/$K$162</f>
        <v>0</v>
      </c>
      <c r="L163" s="39">
        <f>L3/$L$162</f>
        <v>0</v>
      </c>
      <c r="M163" s="39">
        <f>M3/$M$162</f>
        <v>0</v>
      </c>
      <c r="N163" s="7">
        <v>5.7000000000000002E-2</v>
      </c>
      <c r="O163" s="39">
        <f>MAX(F163:G163)/N163</f>
        <v>1.5935672514619883E-3</v>
      </c>
      <c r="P163" s="39">
        <f>MAX(G163:H163)/N163</f>
        <v>1.5497076023391811E-3</v>
      </c>
      <c r="Q163" s="39">
        <f>MAX(J163:K163)/N163</f>
        <v>8.9181286549707599E-4</v>
      </c>
      <c r="R163" s="39">
        <f>MAX(L163:M163)/N163</f>
        <v>0</v>
      </c>
    </row>
    <row r="164" spans="5:18" ht="15" x14ac:dyDescent="0.2">
      <c r="E164" s="39" t="s">
        <v>115</v>
      </c>
      <c r="F164" s="39">
        <f>F4/$F$162</f>
        <v>0.8666666666666667</v>
      </c>
      <c r="G164" s="39">
        <f>G4/$G$162</f>
        <v>0.72166666666666657</v>
      </c>
      <c r="H164" s="39">
        <f>H4/$H$162</f>
        <v>0.96666666666666667</v>
      </c>
      <c r="I164" s="39">
        <f>I4/$I$162</f>
        <v>0.96666666666666667</v>
      </c>
      <c r="J164" s="39">
        <f t="shared" si="80"/>
        <v>6.2000000000000006E-2</v>
      </c>
      <c r="K164" s="39">
        <f>K4/$K$162</f>
        <v>0.10416666666666667</v>
      </c>
      <c r="L164" s="39">
        <f>L4/$L$162</f>
        <v>1.7500000000000002E-2</v>
      </c>
      <c r="M164" s="39">
        <f>M4/$M$162</f>
        <v>1.6333333333333332E-2</v>
      </c>
      <c r="N164" s="7">
        <v>114.7</v>
      </c>
      <c r="O164" s="39">
        <f t="shared" ref="O164:O180" si="81">MAX(F164:G164)/N164</f>
        <v>7.5559430398140079E-3</v>
      </c>
      <c r="P164" s="39">
        <f t="shared" ref="P164:P180" si="82">MAX(G164:H164)/N164</f>
        <v>8.4277826213310075E-3</v>
      </c>
      <c r="Q164" s="39">
        <f t="shared" ref="Q164:Q180" si="83">MAX(J164:K164)/N164</f>
        <v>9.0816623074687589E-4</v>
      </c>
      <c r="R164" s="39">
        <f t="shared" ref="R164:R180" si="84">MAX(L164:M164)/N164</f>
        <v>1.5257192676547515E-4</v>
      </c>
    </row>
    <row r="165" spans="5:18" ht="15" x14ac:dyDescent="0.2">
      <c r="E165" s="39" t="s">
        <v>116</v>
      </c>
      <c r="F165" s="39">
        <f t="shared" ref="F165:F180" si="85">F5/$F$162</f>
        <v>1.1833333333333333</v>
      </c>
      <c r="G165" s="39">
        <f t="shared" ref="G165:G180" si="86">G5/$G$162</f>
        <v>1.1166666666666667</v>
      </c>
      <c r="H165" s="39">
        <f t="shared" ref="H165:H180" si="87">H5/$H$162</f>
        <v>2.1</v>
      </c>
      <c r="I165" s="39">
        <f t="shared" ref="I165:I180" si="88">I5/$I$162</f>
        <v>1.85</v>
      </c>
      <c r="J165" s="39">
        <f t="shared" si="80"/>
        <v>1.1583333333333334</v>
      </c>
      <c r="K165" s="39">
        <f t="shared" ref="K165:K180" si="89">K5/$K$162</f>
        <v>1.1583333333333334</v>
      </c>
      <c r="L165" s="39">
        <f t="shared" ref="L165:L180" si="90">L5/$L$162</f>
        <v>0.5</v>
      </c>
      <c r="M165" s="39">
        <f t="shared" ref="M165:M180" si="91">M5/$M$162</f>
        <v>0.45</v>
      </c>
      <c r="N165" s="6">
        <v>2900</v>
      </c>
      <c r="O165" s="39">
        <f t="shared" si="81"/>
        <v>4.0804597701149428E-4</v>
      </c>
      <c r="P165" s="39">
        <f t="shared" si="82"/>
        <v>7.2413793103448282E-4</v>
      </c>
      <c r="Q165" s="39">
        <f t="shared" si="83"/>
        <v>3.9942528735632186E-4</v>
      </c>
      <c r="R165" s="39">
        <f t="shared" si="84"/>
        <v>1.7241379310344826E-4</v>
      </c>
    </row>
    <row r="166" spans="5:18" ht="15" x14ac:dyDescent="0.2">
      <c r="E166" s="39" t="s">
        <v>117</v>
      </c>
      <c r="F166" s="39">
        <f t="shared" si="85"/>
        <v>0.185</v>
      </c>
      <c r="G166" s="39">
        <f t="shared" si="86"/>
        <v>0.16750000000000001</v>
      </c>
      <c r="H166" s="39">
        <f t="shared" si="87"/>
        <v>0.16250000000000001</v>
      </c>
      <c r="I166" s="39">
        <f t="shared" si="88"/>
        <v>0.14833333333333334</v>
      </c>
      <c r="J166" s="39">
        <f t="shared" si="80"/>
        <v>2.2000000000000002E-2</v>
      </c>
      <c r="K166" s="39">
        <f t="shared" si="89"/>
        <v>3.075E-2</v>
      </c>
      <c r="L166" s="39">
        <f t="shared" si="90"/>
        <v>0</v>
      </c>
      <c r="M166" s="39">
        <f t="shared" si="91"/>
        <v>0</v>
      </c>
      <c r="N166" s="3">
        <v>1.06</v>
      </c>
      <c r="O166" s="39">
        <f t="shared" si="81"/>
        <v>0.17452830188679244</v>
      </c>
      <c r="P166" s="39">
        <f t="shared" si="82"/>
        <v>0.15801886792452829</v>
      </c>
      <c r="Q166" s="39">
        <f t="shared" si="83"/>
        <v>2.9009433962264148E-2</v>
      </c>
      <c r="R166" s="39">
        <f t="shared" si="84"/>
        <v>0</v>
      </c>
    </row>
    <row r="167" spans="5:18" ht="15" x14ac:dyDescent="0.2">
      <c r="E167" s="39" t="s">
        <v>118</v>
      </c>
      <c r="F167" s="39">
        <f t="shared" si="85"/>
        <v>2.6583333333333332</v>
      </c>
      <c r="G167" s="39">
        <f t="shared" si="86"/>
        <v>1.9666666666666666</v>
      </c>
      <c r="H167" s="39">
        <f t="shared" si="87"/>
        <v>1.2083333333333333</v>
      </c>
      <c r="I167" s="39">
        <f t="shared" si="88"/>
        <v>1.1833333333333333</v>
      </c>
      <c r="J167" s="39">
        <f t="shared" si="80"/>
        <v>0.18333333333333332</v>
      </c>
      <c r="K167" s="39">
        <f t="shared" si="89"/>
        <v>0.13750000000000001</v>
      </c>
      <c r="L167" s="39">
        <f t="shared" si="90"/>
        <v>0</v>
      </c>
      <c r="M167" s="39">
        <f t="shared" si="91"/>
        <v>0</v>
      </c>
      <c r="N167" s="3">
        <v>6.3</v>
      </c>
      <c r="O167" s="39">
        <f t="shared" si="81"/>
        <v>0.42195767195767198</v>
      </c>
      <c r="P167" s="39">
        <f t="shared" si="82"/>
        <v>0.31216931216931215</v>
      </c>
      <c r="Q167" s="39">
        <f t="shared" si="83"/>
        <v>2.9100529100529099E-2</v>
      </c>
      <c r="R167" s="39">
        <f t="shared" si="84"/>
        <v>0</v>
      </c>
    </row>
    <row r="168" spans="5:18" ht="15" x14ac:dyDescent="0.2">
      <c r="E168" s="39" t="s">
        <v>16</v>
      </c>
      <c r="F168" s="39">
        <f t="shared" si="85"/>
        <v>0.14499999999999999</v>
      </c>
      <c r="G168" s="39">
        <f t="shared" si="86"/>
        <v>0.14166666666666666</v>
      </c>
      <c r="H168" s="39">
        <f t="shared" si="87"/>
        <v>0.19916666666666666</v>
      </c>
      <c r="I168" s="39">
        <f t="shared" si="88"/>
        <v>0.23416666666666669</v>
      </c>
      <c r="J168" s="39">
        <f t="shared" si="80"/>
        <v>9.9166666666666667E-2</v>
      </c>
      <c r="K168" s="39">
        <f t="shared" si="89"/>
        <v>9.583333333333334E-2</v>
      </c>
      <c r="L168" s="39">
        <f t="shared" si="90"/>
        <v>0</v>
      </c>
      <c r="M168" s="39">
        <f t="shared" si="91"/>
        <v>0</v>
      </c>
      <c r="N168" s="3">
        <v>1650</v>
      </c>
      <c r="O168" s="39">
        <f t="shared" si="81"/>
        <v>8.7878787878787874E-5</v>
      </c>
      <c r="P168" s="39">
        <f t="shared" si="82"/>
        <v>1.207070707070707E-4</v>
      </c>
      <c r="Q168" s="39">
        <f t="shared" si="83"/>
        <v>6.0101010101010102E-5</v>
      </c>
      <c r="R168" s="39">
        <f t="shared" si="84"/>
        <v>0</v>
      </c>
    </row>
    <row r="169" spans="5:18" ht="15" x14ac:dyDescent="0.2">
      <c r="E169" s="39" t="s">
        <v>119</v>
      </c>
      <c r="F169" s="39">
        <f t="shared" si="85"/>
        <v>6.2833333333333332</v>
      </c>
      <c r="G169" s="39">
        <f t="shared" si="86"/>
        <v>6.7833333333333332</v>
      </c>
      <c r="H169" s="39">
        <f t="shared" si="87"/>
        <v>8.3333333333333339</v>
      </c>
      <c r="I169" s="39">
        <f t="shared" si="88"/>
        <v>8.2166666666666668</v>
      </c>
      <c r="J169" s="39">
        <f t="shared" si="80"/>
        <v>2.1916666666666669</v>
      </c>
      <c r="K169" s="39">
        <f t="shared" si="89"/>
        <v>2.3666666666666667</v>
      </c>
      <c r="L169" s="39">
        <f t="shared" si="90"/>
        <v>0.52416666666666667</v>
      </c>
      <c r="M169" s="39">
        <f t="shared" si="91"/>
        <v>0.5083333333333333</v>
      </c>
      <c r="N169" s="3">
        <v>34</v>
      </c>
      <c r="O169" s="39">
        <f t="shared" si="81"/>
        <v>0.19950980392156861</v>
      </c>
      <c r="P169" s="39">
        <f t="shared" si="82"/>
        <v>0.24509803921568629</v>
      </c>
      <c r="Q169" s="39">
        <f t="shared" si="83"/>
        <v>6.9607843137254904E-2</v>
      </c>
      <c r="R169" s="39">
        <f t="shared" si="84"/>
        <v>1.5416666666666667E-2</v>
      </c>
    </row>
    <row r="170" spans="5:18" ht="15" x14ac:dyDescent="0.2">
      <c r="E170" s="39" t="s">
        <v>120</v>
      </c>
      <c r="F170" s="39">
        <f t="shared" si="85"/>
        <v>0</v>
      </c>
      <c r="G170" s="39">
        <f t="shared" si="86"/>
        <v>0</v>
      </c>
      <c r="H170" s="39">
        <f t="shared" si="87"/>
        <v>0</v>
      </c>
      <c r="I170" s="39">
        <f t="shared" si="88"/>
        <v>0</v>
      </c>
      <c r="J170" s="39">
        <f t="shared" si="80"/>
        <v>0</v>
      </c>
      <c r="K170" s="39">
        <f t="shared" si="89"/>
        <v>0</v>
      </c>
      <c r="L170" s="39">
        <f t="shared" si="90"/>
        <v>0</v>
      </c>
      <c r="M170" s="39">
        <f t="shared" si="91"/>
        <v>0</v>
      </c>
      <c r="N170" s="3">
        <v>11900</v>
      </c>
      <c r="O170" s="39">
        <f t="shared" si="81"/>
        <v>0</v>
      </c>
      <c r="P170" s="39">
        <f t="shared" si="82"/>
        <v>0</v>
      </c>
      <c r="Q170" s="39">
        <f t="shared" si="83"/>
        <v>0</v>
      </c>
      <c r="R170" s="39">
        <f t="shared" si="84"/>
        <v>0</v>
      </c>
    </row>
    <row r="171" spans="5:18" ht="15" x14ac:dyDescent="0.2">
      <c r="E171" s="39" t="s">
        <v>11</v>
      </c>
      <c r="F171" s="39">
        <f t="shared" si="85"/>
        <v>0</v>
      </c>
      <c r="G171" s="39">
        <f t="shared" si="86"/>
        <v>0</v>
      </c>
      <c r="H171" s="39">
        <f t="shared" si="87"/>
        <v>0</v>
      </c>
      <c r="I171" s="39">
        <f t="shared" si="88"/>
        <v>0</v>
      </c>
      <c r="J171" s="39">
        <f t="shared" si="80"/>
        <v>0</v>
      </c>
      <c r="K171" s="39">
        <f t="shared" si="89"/>
        <v>0</v>
      </c>
      <c r="L171" s="39">
        <f t="shared" si="90"/>
        <v>0</v>
      </c>
      <c r="M171" s="39">
        <f t="shared" si="91"/>
        <v>0</v>
      </c>
      <c r="N171" s="3">
        <v>37</v>
      </c>
      <c r="O171" s="39">
        <f t="shared" si="81"/>
        <v>0</v>
      </c>
      <c r="P171" s="39">
        <f t="shared" si="82"/>
        <v>0</v>
      </c>
      <c r="Q171" s="39">
        <f t="shared" si="83"/>
        <v>0</v>
      </c>
      <c r="R171" s="39">
        <f t="shared" si="84"/>
        <v>0</v>
      </c>
    </row>
    <row r="172" spans="5:18" ht="15" x14ac:dyDescent="0.2">
      <c r="E172" s="39" t="s">
        <v>121</v>
      </c>
      <c r="F172" s="39">
        <f t="shared" si="85"/>
        <v>2.4166666666666666E-2</v>
      </c>
      <c r="G172" s="39">
        <f t="shared" si="86"/>
        <v>0.02</v>
      </c>
      <c r="H172" s="39">
        <f t="shared" si="87"/>
        <v>2.9166666666666667E-2</v>
      </c>
      <c r="I172" s="39">
        <f t="shared" si="88"/>
        <v>3.0000000000000002E-2</v>
      </c>
      <c r="J172" s="39">
        <f t="shared" si="80"/>
        <v>9.1666666666666667E-3</v>
      </c>
      <c r="K172" s="39">
        <f t="shared" si="89"/>
        <v>8.3333333333333332E-3</v>
      </c>
      <c r="L172" s="39">
        <f t="shared" si="90"/>
        <v>0</v>
      </c>
      <c r="M172" s="39">
        <f t="shared" si="91"/>
        <v>0</v>
      </c>
      <c r="N172" s="3">
        <v>4.0999999999999996</v>
      </c>
      <c r="O172" s="39">
        <f t="shared" si="81"/>
        <v>5.8943089430894312E-3</v>
      </c>
      <c r="P172" s="39">
        <f t="shared" si="82"/>
        <v>7.1138211382113826E-3</v>
      </c>
      <c r="Q172" s="39">
        <f t="shared" si="83"/>
        <v>2.2357723577235773E-3</v>
      </c>
      <c r="R172" s="39">
        <f t="shared" si="84"/>
        <v>0</v>
      </c>
    </row>
    <row r="173" spans="5:18" ht="15" x14ac:dyDescent="0.2">
      <c r="E173" s="39" t="s">
        <v>122</v>
      </c>
      <c r="F173" s="39">
        <f t="shared" si="85"/>
        <v>12.166666666666666</v>
      </c>
      <c r="G173" s="39">
        <f t="shared" si="86"/>
        <v>14.5</v>
      </c>
      <c r="H173" s="39">
        <f t="shared" si="87"/>
        <v>15.583333333333334</v>
      </c>
      <c r="I173" s="39">
        <f t="shared" si="88"/>
        <v>16.083333333333332</v>
      </c>
      <c r="J173" s="39">
        <f t="shared" si="80"/>
        <v>5.0999999999999996</v>
      </c>
      <c r="K173" s="39">
        <f t="shared" si="89"/>
        <v>5.3250000000000002</v>
      </c>
      <c r="L173" s="39">
        <f t="shared" si="90"/>
        <v>1.0583333333333333</v>
      </c>
      <c r="M173" s="39">
        <f t="shared" si="91"/>
        <v>1.0416666666666667</v>
      </c>
      <c r="N173" s="3">
        <v>14.4</v>
      </c>
      <c r="O173" s="39">
        <f t="shared" si="81"/>
        <v>1.0069444444444444</v>
      </c>
      <c r="P173" s="39">
        <f t="shared" si="82"/>
        <v>1.082175925925926</v>
      </c>
      <c r="Q173" s="39">
        <f t="shared" si="83"/>
        <v>0.36979166666666669</v>
      </c>
      <c r="R173" s="39">
        <f t="shared" si="84"/>
        <v>7.3495370370370364E-2</v>
      </c>
    </row>
    <row r="174" spans="5:18" ht="15" x14ac:dyDescent="0.2">
      <c r="E174" s="39" t="s">
        <v>123</v>
      </c>
      <c r="F174" s="39">
        <f t="shared" si="85"/>
        <v>1.2E-2</v>
      </c>
      <c r="G174" s="39">
        <f t="shared" si="86"/>
        <v>1.5583333333333334E-2</v>
      </c>
      <c r="H174" s="39">
        <f t="shared" si="87"/>
        <v>1.3833333333333333E-2</v>
      </c>
      <c r="I174" s="39">
        <f t="shared" si="88"/>
        <v>1.6749999999999998E-2</v>
      </c>
      <c r="J174" s="39">
        <f t="shared" si="80"/>
        <v>0</v>
      </c>
      <c r="K174" s="39">
        <f t="shared" si="89"/>
        <v>0</v>
      </c>
      <c r="L174" s="39">
        <f t="shared" si="90"/>
        <v>0</v>
      </c>
      <c r="M174" s="39">
        <f t="shared" si="91"/>
        <v>0</v>
      </c>
      <c r="N174" s="3">
        <v>0.19</v>
      </c>
      <c r="O174" s="39">
        <f t="shared" si="81"/>
        <v>8.2017543859649128E-2</v>
      </c>
      <c r="P174" s="39">
        <f t="shared" si="82"/>
        <v>8.2017543859649128E-2</v>
      </c>
      <c r="Q174" s="39">
        <f t="shared" si="83"/>
        <v>0</v>
      </c>
      <c r="R174" s="39">
        <f t="shared" si="84"/>
        <v>0</v>
      </c>
    </row>
    <row r="175" spans="5:18" ht="15" x14ac:dyDescent="0.2">
      <c r="E175" s="39" t="s">
        <v>124</v>
      </c>
      <c r="F175" s="39">
        <f t="shared" si="85"/>
        <v>0.10916666666666666</v>
      </c>
      <c r="G175" s="39">
        <f t="shared" si="86"/>
        <v>9.5000000000000001E-2</v>
      </c>
      <c r="H175" s="39">
        <f t="shared" si="87"/>
        <v>0.15166666666666667</v>
      </c>
      <c r="I175" s="39">
        <f t="shared" si="88"/>
        <v>0.14749999999999999</v>
      </c>
      <c r="J175" s="39">
        <f t="shared" si="80"/>
        <v>4.0083333333333332E-2</v>
      </c>
      <c r="K175" s="39">
        <f t="shared" si="89"/>
        <v>4.5916666666666668E-2</v>
      </c>
      <c r="L175" s="39">
        <f t="shared" si="90"/>
        <v>8.416666666666666E-3</v>
      </c>
      <c r="M175" s="39">
        <f t="shared" si="91"/>
        <v>8.416666666666666E-3</v>
      </c>
      <c r="N175" s="3">
        <v>6.5</v>
      </c>
      <c r="O175" s="39">
        <f t="shared" si="81"/>
        <v>1.6794871794871793E-2</v>
      </c>
      <c r="P175" s="39">
        <f t="shared" si="82"/>
        <v>2.3333333333333334E-2</v>
      </c>
      <c r="Q175" s="39">
        <f t="shared" si="83"/>
        <v>7.0641025641025642E-3</v>
      </c>
      <c r="R175" s="39">
        <f t="shared" si="84"/>
        <v>1.2948717948717949E-3</v>
      </c>
    </row>
    <row r="176" spans="5:18" ht="15" x14ac:dyDescent="0.2">
      <c r="E176" s="39" t="s">
        <v>125</v>
      </c>
      <c r="F176" s="39">
        <f t="shared" si="85"/>
        <v>0.74416666666666664</v>
      </c>
      <c r="G176" s="39">
        <f t="shared" si="86"/>
        <v>0.61749999999999994</v>
      </c>
      <c r="H176" s="39">
        <f t="shared" si="87"/>
        <v>0.73499999999999999</v>
      </c>
      <c r="I176" s="39">
        <f t="shared" si="88"/>
        <v>0.71000000000000008</v>
      </c>
      <c r="J176" s="39">
        <f t="shared" si="80"/>
        <v>0.39583333333333331</v>
      </c>
      <c r="K176" s="39">
        <f t="shared" si="89"/>
        <v>0.58250000000000002</v>
      </c>
      <c r="L176" s="39">
        <f t="shared" si="90"/>
        <v>0.12416666666666668</v>
      </c>
      <c r="M176" s="39">
        <f t="shared" si="91"/>
        <v>0.11416666666666667</v>
      </c>
      <c r="N176" s="3">
        <v>20</v>
      </c>
      <c r="O176" s="39">
        <f t="shared" si="81"/>
        <v>3.7208333333333329E-2</v>
      </c>
      <c r="P176" s="39">
        <f t="shared" si="82"/>
        <v>3.6749999999999998E-2</v>
      </c>
      <c r="Q176" s="39">
        <f t="shared" si="83"/>
        <v>2.9125000000000002E-2</v>
      </c>
      <c r="R176" s="39">
        <f t="shared" si="84"/>
        <v>6.2083333333333339E-3</v>
      </c>
    </row>
    <row r="177" spans="5:18" ht="15" x14ac:dyDescent="0.2">
      <c r="E177" s="39" t="s">
        <v>126</v>
      </c>
      <c r="F177" s="39">
        <f t="shared" si="85"/>
        <v>0.15</v>
      </c>
      <c r="G177" s="39">
        <f t="shared" si="86"/>
        <v>3.7333333333333336E-2</v>
      </c>
      <c r="H177" s="39">
        <f t="shared" si="87"/>
        <v>0.27749999999999997</v>
      </c>
      <c r="I177" s="39">
        <f t="shared" si="88"/>
        <v>0.2175</v>
      </c>
      <c r="J177" s="39">
        <f t="shared" si="80"/>
        <v>0</v>
      </c>
      <c r="K177" s="39">
        <f t="shared" si="89"/>
        <v>8.416666666666666E-3</v>
      </c>
      <c r="L177" s="39">
        <f t="shared" si="90"/>
        <v>0</v>
      </c>
      <c r="M177" s="39">
        <f t="shared" si="91"/>
        <v>0</v>
      </c>
      <c r="N177" s="3">
        <v>2.4</v>
      </c>
      <c r="O177" s="39">
        <f t="shared" si="81"/>
        <v>6.25E-2</v>
      </c>
      <c r="P177" s="39">
        <f t="shared" si="82"/>
        <v>0.11562499999999999</v>
      </c>
      <c r="Q177" s="39">
        <f t="shared" si="83"/>
        <v>3.5069444444444445E-3</v>
      </c>
      <c r="R177" s="39">
        <f t="shared" si="84"/>
        <v>0</v>
      </c>
    </row>
    <row r="178" spans="5:18" ht="15" x14ac:dyDescent="0.2">
      <c r="E178" s="39" t="s">
        <v>127</v>
      </c>
      <c r="F178" s="39">
        <f t="shared" si="85"/>
        <v>3.7249999999999998E-2</v>
      </c>
      <c r="G178" s="39">
        <f t="shared" si="86"/>
        <v>3.6416666666666667E-2</v>
      </c>
      <c r="H178" s="39">
        <f t="shared" si="87"/>
        <v>5.2666666666666667E-2</v>
      </c>
      <c r="I178" s="39">
        <f t="shared" si="88"/>
        <v>4.9000000000000002E-2</v>
      </c>
      <c r="J178" s="39">
        <f t="shared" si="80"/>
        <v>1.7749999999999998E-2</v>
      </c>
      <c r="K178" s="39">
        <f t="shared" si="89"/>
        <v>1.9166666666666665E-2</v>
      </c>
      <c r="L178" s="39">
        <f t="shared" si="90"/>
        <v>0</v>
      </c>
      <c r="M178" s="39">
        <f t="shared" si="91"/>
        <v>0</v>
      </c>
      <c r="N178" s="3">
        <v>5.6</v>
      </c>
      <c r="O178" s="39">
        <f t="shared" si="81"/>
        <v>6.6517857142857142E-3</v>
      </c>
      <c r="P178" s="39">
        <f t="shared" si="82"/>
        <v>9.4047619047619054E-3</v>
      </c>
      <c r="Q178" s="39">
        <f t="shared" si="83"/>
        <v>3.4226190476190476E-3</v>
      </c>
      <c r="R178" s="39">
        <f t="shared" si="84"/>
        <v>0</v>
      </c>
    </row>
    <row r="179" spans="5:18" ht="15" x14ac:dyDescent="0.2">
      <c r="E179" s="39" t="s">
        <v>1</v>
      </c>
      <c r="F179" s="39">
        <f t="shared" si="85"/>
        <v>0</v>
      </c>
      <c r="G179" s="39">
        <f t="shared" si="86"/>
        <v>0</v>
      </c>
      <c r="H179" s="39">
        <f t="shared" si="87"/>
        <v>0</v>
      </c>
      <c r="I179" s="39">
        <f t="shared" si="88"/>
        <v>0</v>
      </c>
      <c r="J179" s="39">
        <f t="shared" si="80"/>
        <v>0</v>
      </c>
      <c r="K179" s="39">
        <f t="shared" si="89"/>
        <v>0</v>
      </c>
      <c r="L179" s="39">
        <f t="shared" si="90"/>
        <v>0</v>
      </c>
      <c r="M179" s="39">
        <f t="shared" si="91"/>
        <v>0</v>
      </c>
      <c r="N179" s="3">
        <v>28</v>
      </c>
      <c r="O179" s="39">
        <f t="shared" si="81"/>
        <v>0</v>
      </c>
      <c r="P179" s="39">
        <f t="shared" si="82"/>
        <v>0</v>
      </c>
      <c r="Q179" s="39">
        <f t="shared" si="83"/>
        <v>0</v>
      </c>
      <c r="R179" s="39">
        <f t="shared" si="84"/>
        <v>0</v>
      </c>
    </row>
    <row r="180" spans="5:18" ht="15" x14ac:dyDescent="0.2">
      <c r="E180" s="39" t="s">
        <v>0</v>
      </c>
      <c r="F180" s="39">
        <f t="shared" si="85"/>
        <v>205.30249999999998</v>
      </c>
      <c r="G180" s="39">
        <f t="shared" si="86"/>
        <v>0</v>
      </c>
      <c r="H180" s="39">
        <f t="shared" si="87"/>
        <v>0</v>
      </c>
      <c r="I180" s="39">
        <f t="shared" si="88"/>
        <v>0</v>
      </c>
      <c r="J180" s="39">
        <f t="shared" si="80"/>
        <v>0</v>
      </c>
      <c r="K180" s="39">
        <f t="shared" si="89"/>
        <v>0</v>
      </c>
      <c r="L180" s="39">
        <f t="shared" si="90"/>
        <v>0</v>
      </c>
      <c r="M180" s="39">
        <f t="shared" si="91"/>
        <v>0</v>
      </c>
      <c r="N180" s="3">
        <v>170</v>
      </c>
      <c r="O180" s="39">
        <f t="shared" si="81"/>
        <v>1.2076617647058823</v>
      </c>
      <c r="P180" s="39">
        <f t="shared" si="82"/>
        <v>0</v>
      </c>
      <c r="Q180" s="39">
        <f t="shared" si="83"/>
        <v>0</v>
      </c>
      <c r="R180" s="39">
        <f t="shared" si="84"/>
        <v>0</v>
      </c>
    </row>
    <row r="181" spans="5:18" ht="16" x14ac:dyDescent="0.2">
      <c r="E181" s="95" t="s">
        <v>99</v>
      </c>
      <c r="F181" s="97" t="s">
        <v>128</v>
      </c>
      <c r="G181" s="98"/>
      <c r="H181" s="98"/>
      <c r="I181" s="98"/>
      <c r="J181" s="98"/>
      <c r="K181" s="98"/>
      <c r="L181" s="98"/>
      <c r="M181" s="98"/>
      <c r="N181" s="59" t="s">
        <v>104</v>
      </c>
      <c r="O181" s="47" t="s">
        <v>105</v>
      </c>
      <c r="P181" s="48" t="s">
        <v>106</v>
      </c>
      <c r="Q181" s="48" t="s">
        <v>107</v>
      </c>
      <c r="R181" s="49" t="s">
        <v>108</v>
      </c>
    </row>
    <row r="182" spans="5:18" ht="15" x14ac:dyDescent="0.2">
      <c r="E182" s="96"/>
      <c r="F182" s="51">
        <v>140</v>
      </c>
      <c r="G182" s="51">
        <v>140</v>
      </c>
      <c r="H182" s="51">
        <v>140</v>
      </c>
      <c r="I182" s="51">
        <v>140</v>
      </c>
      <c r="J182" s="51">
        <v>140</v>
      </c>
      <c r="K182" s="51">
        <v>140</v>
      </c>
      <c r="L182" s="51">
        <v>140</v>
      </c>
      <c r="M182" s="51">
        <v>140</v>
      </c>
      <c r="N182" s="60" t="s">
        <v>113</v>
      </c>
      <c r="O182" s="47" t="s">
        <v>27</v>
      </c>
      <c r="P182" s="48" t="s">
        <v>27</v>
      </c>
      <c r="Q182" s="48" t="s">
        <v>27</v>
      </c>
      <c r="R182" s="49" t="s">
        <v>27</v>
      </c>
    </row>
    <row r="183" spans="5:18" ht="15" x14ac:dyDescent="0.2">
      <c r="E183" s="39" t="s">
        <v>114</v>
      </c>
      <c r="F183" s="39">
        <f>F3/$F$182</f>
        <v>7.785714285714286E-5</v>
      </c>
      <c r="G183" s="39">
        <f>G3/$G$182</f>
        <v>3.9285714285714283E-5</v>
      </c>
      <c r="H183" s="39">
        <f>H3/$H$182</f>
        <v>7.5714285714285713E-5</v>
      </c>
      <c r="I183" s="39">
        <f>I3/$I$182</f>
        <v>7.785714285714286E-5</v>
      </c>
      <c r="J183" s="39">
        <f>J3/$J$182</f>
        <v>4.3571428571428576E-5</v>
      </c>
      <c r="K183" s="39">
        <f>K3/$K$182</f>
        <v>0</v>
      </c>
      <c r="L183" s="39">
        <f>L3/$L$182</f>
        <v>0</v>
      </c>
      <c r="M183" s="39">
        <f>M3/$M$182</f>
        <v>0</v>
      </c>
      <c r="N183" s="7">
        <v>5.7000000000000002E-2</v>
      </c>
      <c r="O183" s="39">
        <f>MAX(F183:G183)/N183</f>
        <v>1.3659147869674185E-3</v>
      </c>
      <c r="P183" s="39">
        <f>MAX(G183:H183)/N183</f>
        <v>1.3283208020050126E-3</v>
      </c>
      <c r="Q183" s="39">
        <f>MAX(J183:K183)/N183</f>
        <v>7.644110275689224E-4</v>
      </c>
      <c r="R183" s="39">
        <f>MAX(L183:M183)/N183</f>
        <v>0</v>
      </c>
    </row>
    <row r="184" spans="5:18" ht="15" x14ac:dyDescent="0.2">
      <c r="E184" s="39" t="s">
        <v>115</v>
      </c>
      <c r="F184" s="39">
        <f>F4/$F$182</f>
        <v>0.74285714285714288</v>
      </c>
      <c r="G184" s="39">
        <f>G4/$G$182</f>
        <v>0.61857142857142855</v>
      </c>
      <c r="H184" s="39">
        <f>H4/$H$182</f>
        <v>0.82857142857142863</v>
      </c>
      <c r="I184" s="39">
        <f>I4/$I$182</f>
        <v>0.82857142857142863</v>
      </c>
      <c r="J184" s="39">
        <f>J4/$J$182</f>
        <v>5.3142857142857144E-2</v>
      </c>
      <c r="K184" s="39">
        <f>K4/$K$182</f>
        <v>8.9285714285714288E-2</v>
      </c>
      <c r="L184" s="39">
        <f>L4/$L$182</f>
        <v>1.5000000000000001E-2</v>
      </c>
      <c r="M184" s="39">
        <f>M4/$M$182</f>
        <v>1.4E-2</v>
      </c>
      <c r="N184" s="7">
        <v>114.7</v>
      </c>
      <c r="O184" s="39">
        <f t="shared" ref="O184:O200" si="92">MAX(F184:G184)/N184</f>
        <v>6.4765226055548634E-3</v>
      </c>
      <c r="P184" s="39">
        <f t="shared" ref="P184:P200" si="93">MAX(G184:H184)/N184</f>
        <v>7.2238136754265792E-3</v>
      </c>
      <c r="Q184" s="39">
        <f t="shared" ref="Q184:Q200" si="94">MAX(J184:K184)/N184</f>
        <v>7.7842819778303654E-4</v>
      </c>
      <c r="R184" s="39">
        <f t="shared" ref="R184:R200" si="95">MAX(L184:M184)/N184</f>
        <v>1.3077593722755015E-4</v>
      </c>
    </row>
    <row r="185" spans="5:18" ht="15" x14ac:dyDescent="0.2">
      <c r="E185" s="39" t="s">
        <v>116</v>
      </c>
      <c r="F185" s="39">
        <f t="shared" ref="F185:F200" si="96">F5/$F$182</f>
        <v>1.0142857142857142</v>
      </c>
      <c r="G185" s="39">
        <f t="shared" ref="G185:G200" si="97">G5/$G$182</f>
        <v>0.95714285714285718</v>
      </c>
      <c r="H185" s="39">
        <f t="shared" ref="H185:H200" si="98">H5/$H$182</f>
        <v>1.8</v>
      </c>
      <c r="I185" s="39">
        <f t="shared" ref="I185:I200" si="99">I5/$I$182</f>
        <v>1.5857142857142856</v>
      </c>
      <c r="J185" s="39">
        <f t="shared" ref="J185:J200" si="100">J5/$J$182</f>
        <v>0.99285714285714288</v>
      </c>
      <c r="K185" s="39">
        <f t="shared" ref="K185:K200" si="101">K5/$K$182</f>
        <v>0.99285714285714288</v>
      </c>
      <c r="L185" s="39">
        <f t="shared" ref="L185:L200" si="102">L5/$L$182</f>
        <v>0.42857142857142855</v>
      </c>
      <c r="M185" s="39">
        <f t="shared" ref="M185:M200" si="103">M5/$M$182</f>
        <v>0.38571428571428573</v>
      </c>
      <c r="N185" s="6">
        <v>2900</v>
      </c>
      <c r="O185" s="39">
        <f t="shared" si="92"/>
        <v>3.4975369458128079E-4</v>
      </c>
      <c r="P185" s="39">
        <f t="shared" si="93"/>
        <v>6.2068965517241383E-4</v>
      </c>
      <c r="Q185" s="39">
        <f t="shared" si="94"/>
        <v>3.4236453201970445E-4</v>
      </c>
      <c r="R185" s="39">
        <f t="shared" si="95"/>
        <v>1.4778325123152708E-4</v>
      </c>
    </row>
    <row r="186" spans="5:18" ht="15" x14ac:dyDescent="0.2">
      <c r="E186" s="39" t="s">
        <v>117</v>
      </c>
      <c r="F186" s="39">
        <f t="shared" si="96"/>
        <v>0.15857142857142856</v>
      </c>
      <c r="G186" s="39">
        <f t="shared" si="97"/>
        <v>0.14357142857142857</v>
      </c>
      <c r="H186" s="39">
        <f t="shared" si="98"/>
        <v>0.13928571428571429</v>
      </c>
      <c r="I186" s="39">
        <f t="shared" si="99"/>
        <v>0.12714285714285714</v>
      </c>
      <c r="J186" s="39">
        <f t="shared" si="100"/>
        <v>1.8857142857142857E-2</v>
      </c>
      <c r="K186" s="39">
        <f t="shared" si="101"/>
        <v>2.6357142857142857E-2</v>
      </c>
      <c r="L186" s="39">
        <f t="shared" si="102"/>
        <v>0</v>
      </c>
      <c r="M186" s="39">
        <f t="shared" si="103"/>
        <v>0</v>
      </c>
      <c r="N186" s="3">
        <v>1.06</v>
      </c>
      <c r="O186" s="39">
        <f t="shared" si="92"/>
        <v>0.14959568733153636</v>
      </c>
      <c r="P186" s="39">
        <f t="shared" si="93"/>
        <v>0.13544474393530997</v>
      </c>
      <c r="Q186" s="39">
        <f t="shared" si="94"/>
        <v>2.4865229110512126E-2</v>
      </c>
      <c r="R186" s="39">
        <f t="shared" si="95"/>
        <v>0</v>
      </c>
    </row>
    <row r="187" spans="5:18" ht="15" x14ac:dyDescent="0.2">
      <c r="E187" s="39" t="s">
        <v>118</v>
      </c>
      <c r="F187" s="39">
        <f t="shared" si="96"/>
        <v>2.2785714285714285</v>
      </c>
      <c r="G187" s="39">
        <f t="shared" si="97"/>
        <v>1.6857142857142857</v>
      </c>
      <c r="H187" s="39">
        <f t="shared" si="98"/>
        <v>1.0357142857142858</v>
      </c>
      <c r="I187" s="39">
        <f t="shared" si="99"/>
        <v>1.0142857142857142</v>
      </c>
      <c r="J187" s="39">
        <f t="shared" si="100"/>
        <v>0.15714285714285714</v>
      </c>
      <c r="K187" s="39">
        <f t="shared" si="101"/>
        <v>0.11785714285714285</v>
      </c>
      <c r="L187" s="39">
        <f t="shared" si="102"/>
        <v>0</v>
      </c>
      <c r="M187" s="39">
        <f t="shared" si="103"/>
        <v>0</v>
      </c>
      <c r="N187" s="3">
        <v>6.3</v>
      </c>
      <c r="O187" s="39">
        <f t="shared" si="92"/>
        <v>0.36167800453514737</v>
      </c>
      <c r="P187" s="39">
        <f t="shared" si="93"/>
        <v>0.26757369614512472</v>
      </c>
      <c r="Q187" s="39">
        <f t="shared" si="94"/>
        <v>2.4943310657596373E-2</v>
      </c>
      <c r="R187" s="39">
        <f t="shared" si="95"/>
        <v>0</v>
      </c>
    </row>
    <row r="188" spans="5:18" ht="15" x14ac:dyDescent="0.2">
      <c r="E188" s="39" t="s">
        <v>16</v>
      </c>
      <c r="F188" s="39">
        <f t="shared" si="96"/>
        <v>0.12428571428571428</v>
      </c>
      <c r="G188" s="39">
        <f t="shared" si="97"/>
        <v>0.12142857142857143</v>
      </c>
      <c r="H188" s="39">
        <f t="shared" si="98"/>
        <v>0.17071428571428571</v>
      </c>
      <c r="I188" s="39">
        <f t="shared" si="99"/>
        <v>0.20071428571428573</v>
      </c>
      <c r="J188" s="39">
        <f t="shared" si="100"/>
        <v>8.5000000000000006E-2</v>
      </c>
      <c r="K188" s="39">
        <f t="shared" si="101"/>
        <v>8.2142857142857142E-2</v>
      </c>
      <c r="L188" s="39">
        <f t="shared" si="102"/>
        <v>0</v>
      </c>
      <c r="M188" s="39">
        <f t="shared" si="103"/>
        <v>0</v>
      </c>
      <c r="N188" s="3">
        <v>1650</v>
      </c>
      <c r="O188" s="39">
        <f t="shared" si="92"/>
        <v>7.5324675324675317E-5</v>
      </c>
      <c r="P188" s="39">
        <f t="shared" si="93"/>
        <v>1.0346320346320346E-4</v>
      </c>
      <c r="Q188" s="39">
        <f t="shared" si="94"/>
        <v>5.1515151515151517E-5</v>
      </c>
      <c r="R188" s="39">
        <f t="shared" si="95"/>
        <v>0</v>
      </c>
    </row>
    <row r="189" spans="5:18" ht="15" x14ac:dyDescent="0.2">
      <c r="E189" s="39" t="s">
        <v>119</v>
      </c>
      <c r="F189" s="39">
        <f t="shared" si="96"/>
        <v>5.3857142857142861</v>
      </c>
      <c r="G189" s="39">
        <f t="shared" si="97"/>
        <v>5.8142857142857141</v>
      </c>
      <c r="H189" s="39">
        <f t="shared" si="98"/>
        <v>7.1428571428571432</v>
      </c>
      <c r="I189" s="39">
        <f t="shared" si="99"/>
        <v>7.0428571428571427</v>
      </c>
      <c r="J189" s="39">
        <f t="shared" si="100"/>
        <v>1.8785714285714286</v>
      </c>
      <c r="K189" s="39">
        <f t="shared" si="101"/>
        <v>2.0285714285714285</v>
      </c>
      <c r="L189" s="39">
        <f t="shared" si="102"/>
        <v>0.44928571428571429</v>
      </c>
      <c r="M189" s="39">
        <f t="shared" si="103"/>
        <v>0.43571428571428572</v>
      </c>
      <c r="N189" s="3">
        <v>34</v>
      </c>
      <c r="O189" s="39">
        <f t="shared" si="92"/>
        <v>0.17100840336134454</v>
      </c>
      <c r="P189" s="39">
        <f t="shared" si="93"/>
        <v>0.21008403361344538</v>
      </c>
      <c r="Q189" s="39">
        <f t="shared" si="94"/>
        <v>5.9663865546218484E-2</v>
      </c>
      <c r="R189" s="39">
        <f t="shared" si="95"/>
        <v>1.3214285714285715E-2</v>
      </c>
    </row>
    <row r="190" spans="5:18" ht="15" x14ac:dyDescent="0.2">
      <c r="E190" s="39" t="s">
        <v>120</v>
      </c>
      <c r="F190" s="39">
        <f t="shared" si="96"/>
        <v>0</v>
      </c>
      <c r="G190" s="39">
        <f t="shared" si="97"/>
        <v>0</v>
      </c>
      <c r="H190" s="39">
        <f t="shared" si="98"/>
        <v>0</v>
      </c>
      <c r="I190" s="39">
        <f t="shared" si="99"/>
        <v>0</v>
      </c>
      <c r="J190" s="39">
        <f t="shared" si="100"/>
        <v>0</v>
      </c>
      <c r="K190" s="39">
        <f t="shared" si="101"/>
        <v>0</v>
      </c>
      <c r="L190" s="39">
        <f t="shared" si="102"/>
        <v>0</v>
      </c>
      <c r="M190" s="39">
        <f t="shared" si="103"/>
        <v>0</v>
      </c>
      <c r="N190" s="3">
        <v>11900</v>
      </c>
      <c r="O190" s="39">
        <f t="shared" si="92"/>
        <v>0</v>
      </c>
      <c r="P190" s="39">
        <f t="shared" si="93"/>
        <v>0</v>
      </c>
      <c r="Q190" s="39">
        <f t="shared" si="94"/>
        <v>0</v>
      </c>
      <c r="R190" s="39">
        <f t="shared" si="95"/>
        <v>0</v>
      </c>
    </row>
    <row r="191" spans="5:18" ht="15" x14ac:dyDescent="0.2">
      <c r="E191" s="39" t="s">
        <v>11</v>
      </c>
      <c r="F191" s="39">
        <f t="shared" si="96"/>
        <v>0</v>
      </c>
      <c r="G191" s="39">
        <f t="shared" si="97"/>
        <v>0</v>
      </c>
      <c r="H191" s="39">
        <f t="shared" si="98"/>
        <v>0</v>
      </c>
      <c r="I191" s="39">
        <f t="shared" si="99"/>
        <v>0</v>
      </c>
      <c r="J191" s="39">
        <f t="shared" si="100"/>
        <v>0</v>
      </c>
      <c r="K191" s="39">
        <f t="shared" si="101"/>
        <v>0</v>
      </c>
      <c r="L191" s="39">
        <f t="shared" si="102"/>
        <v>0</v>
      </c>
      <c r="M191" s="39">
        <f t="shared" si="103"/>
        <v>0</v>
      </c>
      <c r="N191" s="3">
        <v>37</v>
      </c>
      <c r="O191" s="39">
        <f t="shared" si="92"/>
        <v>0</v>
      </c>
      <c r="P191" s="39">
        <f t="shared" si="93"/>
        <v>0</v>
      </c>
      <c r="Q191" s="39">
        <f t="shared" si="94"/>
        <v>0</v>
      </c>
      <c r="R191" s="39">
        <f t="shared" si="95"/>
        <v>0</v>
      </c>
    </row>
    <row r="192" spans="5:18" ht="15" x14ac:dyDescent="0.2">
      <c r="E192" s="39" t="s">
        <v>121</v>
      </c>
      <c r="F192" s="39">
        <f t="shared" si="96"/>
        <v>2.0714285714285713E-2</v>
      </c>
      <c r="G192" s="39">
        <f t="shared" si="97"/>
        <v>1.7142857142857144E-2</v>
      </c>
      <c r="H192" s="39">
        <f t="shared" si="98"/>
        <v>2.5000000000000001E-2</v>
      </c>
      <c r="I192" s="39">
        <f t="shared" si="99"/>
        <v>2.5714285714285714E-2</v>
      </c>
      <c r="J192" s="39">
        <f t="shared" si="100"/>
        <v>7.8571428571428577E-3</v>
      </c>
      <c r="K192" s="39">
        <f t="shared" si="101"/>
        <v>7.1428571428571426E-3</v>
      </c>
      <c r="L192" s="39">
        <f t="shared" si="102"/>
        <v>0</v>
      </c>
      <c r="M192" s="39">
        <f t="shared" si="103"/>
        <v>0</v>
      </c>
      <c r="N192" s="3">
        <v>4.0999999999999996</v>
      </c>
      <c r="O192" s="39">
        <f t="shared" si="92"/>
        <v>5.0522648083623691E-3</v>
      </c>
      <c r="P192" s="39">
        <f t="shared" si="93"/>
        <v>6.0975609756097572E-3</v>
      </c>
      <c r="Q192" s="39">
        <f t="shared" si="94"/>
        <v>1.9163763066202093E-3</v>
      </c>
      <c r="R192" s="39">
        <f t="shared" si="95"/>
        <v>0</v>
      </c>
    </row>
    <row r="193" spans="5:18" ht="15" x14ac:dyDescent="0.2">
      <c r="E193" s="39" t="s">
        <v>122</v>
      </c>
      <c r="F193" s="39">
        <f t="shared" si="96"/>
        <v>10.428571428571429</v>
      </c>
      <c r="G193" s="39">
        <f t="shared" si="97"/>
        <v>12.428571428571429</v>
      </c>
      <c r="H193" s="39">
        <f t="shared" si="98"/>
        <v>13.357142857142858</v>
      </c>
      <c r="I193" s="39">
        <f t="shared" si="99"/>
        <v>13.785714285714286</v>
      </c>
      <c r="J193" s="39">
        <f t="shared" si="100"/>
        <v>4.371428571428571</v>
      </c>
      <c r="K193" s="39">
        <f t="shared" si="101"/>
        <v>4.5642857142857141</v>
      </c>
      <c r="L193" s="39">
        <f t="shared" si="102"/>
        <v>0.90714285714285714</v>
      </c>
      <c r="M193" s="39">
        <f t="shared" si="103"/>
        <v>0.8928571428571429</v>
      </c>
      <c r="N193" s="3">
        <v>14.4</v>
      </c>
      <c r="O193" s="39">
        <f t="shared" si="92"/>
        <v>0.86309523809523814</v>
      </c>
      <c r="P193" s="39">
        <f t="shared" si="93"/>
        <v>0.92757936507936511</v>
      </c>
      <c r="Q193" s="39">
        <f t="shared" si="94"/>
        <v>0.3169642857142857</v>
      </c>
      <c r="R193" s="39">
        <f t="shared" si="95"/>
        <v>6.2996031746031744E-2</v>
      </c>
    </row>
    <row r="194" spans="5:18" ht="15" x14ac:dyDescent="0.2">
      <c r="E194" s="39" t="s">
        <v>123</v>
      </c>
      <c r="F194" s="39">
        <f t="shared" si="96"/>
        <v>1.0285714285714285E-2</v>
      </c>
      <c r="G194" s="39">
        <f t="shared" si="97"/>
        <v>1.3357142857142857E-2</v>
      </c>
      <c r="H194" s="39">
        <f t="shared" si="98"/>
        <v>1.1857142857142856E-2</v>
      </c>
      <c r="I194" s="39">
        <f t="shared" si="99"/>
        <v>1.4357142857142855E-2</v>
      </c>
      <c r="J194" s="39">
        <f t="shared" si="100"/>
        <v>0</v>
      </c>
      <c r="K194" s="39">
        <f t="shared" si="101"/>
        <v>0</v>
      </c>
      <c r="L194" s="39">
        <f t="shared" si="102"/>
        <v>0</v>
      </c>
      <c r="M194" s="39">
        <f t="shared" si="103"/>
        <v>0</v>
      </c>
      <c r="N194" s="3">
        <v>0.19</v>
      </c>
      <c r="O194" s="39">
        <f t="shared" si="92"/>
        <v>7.0300751879699253E-2</v>
      </c>
      <c r="P194" s="39">
        <f t="shared" si="93"/>
        <v>7.0300751879699253E-2</v>
      </c>
      <c r="Q194" s="39">
        <f t="shared" si="94"/>
        <v>0</v>
      </c>
      <c r="R194" s="39">
        <f t="shared" si="95"/>
        <v>0</v>
      </c>
    </row>
    <row r="195" spans="5:18" ht="15" x14ac:dyDescent="0.2">
      <c r="E195" s="39" t="s">
        <v>124</v>
      </c>
      <c r="F195" s="39">
        <f t="shared" si="96"/>
        <v>9.3571428571428569E-2</v>
      </c>
      <c r="G195" s="39">
        <f t="shared" si="97"/>
        <v>8.1428571428571433E-2</v>
      </c>
      <c r="H195" s="39">
        <f t="shared" si="98"/>
        <v>0.13</v>
      </c>
      <c r="I195" s="39">
        <f t="shared" si="99"/>
        <v>0.12642857142857142</v>
      </c>
      <c r="J195" s="39">
        <f t="shared" si="100"/>
        <v>3.4357142857142857E-2</v>
      </c>
      <c r="K195" s="39">
        <f t="shared" si="101"/>
        <v>3.9357142857142854E-2</v>
      </c>
      <c r="L195" s="39">
        <f t="shared" si="102"/>
        <v>7.2142857142857147E-3</v>
      </c>
      <c r="M195" s="39">
        <f t="shared" si="103"/>
        <v>7.2142857142857147E-3</v>
      </c>
      <c r="N195" s="3">
        <v>6.5</v>
      </c>
      <c r="O195" s="39">
        <f t="shared" si="92"/>
        <v>1.4395604395604396E-2</v>
      </c>
      <c r="P195" s="39">
        <f t="shared" si="93"/>
        <v>0.02</v>
      </c>
      <c r="Q195" s="39">
        <f t="shared" si="94"/>
        <v>6.0549450549450545E-3</v>
      </c>
      <c r="R195" s="39">
        <f t="shared" si="95"/>
        <v>1.1098901098901099E-3</v>
      </c>
    </row>
    <row r="196" spans="5:18" ht="15" x14ac:dyDescent="0.2">
      <c r="E196" s="39" t="s">
        <v>125</v>
      </c>
      <c r="F196" s="39">
        <f t="shared" si="96"/>
        <v>0.63785714285714279</v>
      </c>
      <c r="G196" s="39">
        <f t="shared" si="97"/>
        <v>0.52928571428571425</v>
      </c>
      <c r="H196" s="39">
        <f t="shared" si="98"/>
        <v>0.63</v>
      </c>
      <c r="I196" s="39">
        <f t="shared" si="99"/>
        <v>0.60857142857142854</v>
      </c>
      <c r="J196" s="39">
        <f t="shared" si="100"/>
        <v>0.3392857142857143</v>
      </c>
      <c r="K196" s="39">
        <f t="shared" si="101"/>
        <v>0.49928571428571433</v>
      </c>
      <c r="L196" s="39">
        <f t="shared" si="102"/>
        <v>0.10642857142857143</v>
      </c>
      <c r="M196" s="39">
        <f t="shared" si="103"/>
        <v>9.7857142857142851E-2</v>
      </c>
      <c r="N196" s="3">
        <v>20</v>
      </c>
      <c r="O196" s="39">
        <f t="shared" si="92"/>
        <v>3.1892857142857139E-2</v>
      </c>
      <c r="P196" s="39">
        <f t="shared" si="93"/>
        <v>3.15E-2</v>
      </c>
      <c r="Q196" s="39">
        <f t="shared" si="94"/>
        <v>2.4964285714285717E-2</v>
      </c>
      <c r="R196" s="39">
        <f t="shared" si="95"/>
        <v>5.3214285714285716E-3</v>
      </c>
    </row>
    <row r="197" spans="5:18" ht="15" x14ac:dyDescent="0.2">
      <c r="E197" s="39" t="s">
        <v>126</v>
      </c>
      <c r="F197" s="39">
        <f t="shared" si="96"/>
        <v>0.12857142857142856</v>
      </c>
      <c r="G197" s="39">
        <f t="shared" si="97"/>
        <v>3.2000000000000001E-2</v>
      </c>
      <c r="H197" s="39">
        <f t="shared" si="98"/>
        <v>0.23785714285714285</v>
      </c>
      <c r="I197" s="39">
        <f t="shared" si="99"/>
        <v>0.18642857142857144</v>
      </c>
      <c r="J197" s="39">
        <f t="shared" si="100"/>
        <v>0</v>
      </c>
      <c r="K197" s="39">
        <f t="shared" si="101"/>
        <v>7.2142857142857147E-3</v>
      </c>
      <c r="L197" s="39">
        <f t="shared" si="102"/>
        <v>0</v>
      </c>
      <c r="M197" s="39">
        <f t="shared" si="103"/>
        <v>0</v>
      </c>
      <c r="N197" s="3">
        <v>2.4</v>
      </c>
      <c r="O197" s="39">
        <f t="shared" si="92"/>
        <v>5.3571428571428568E-2</v>
      </c>
      <c r="P197" s="39">
        <f t="shared" si="93"/>
        <v>9.9107142857142852E-2</v>
      </c>
      <c r="Q197" s="39">
        <f t="shared" si="94"/>
        <v>3.0059523809523813E-3</v>
      </c>
      <c r="R197" s="39">
        <f t="shared" si="95"/>
        <v>0</v>
      </c>
    </row>
    <row r="198" spans="5:18" ht="15" x14ac:dyDescent="0.2">
      <c r="E198" s="39" t="s">
        <v>127</v>
      </c>
      <c r="F198" s="39">
        <f t="shared" si="96"/>
        <v>3.1928571428571424E-2</v>
      </c>
      <c r="G198" s="39">
        <f t="shared" si="97"/>
        <v>3.1214285714285715E-2</v>
      </c>
      <c r="H198" s="39">
        <f t="shared" si="98"/>
        <v>4.5142857142857144E-2</v>
      </c>
      <c r="I198" s="39">
        <f t="shared" si="99"/>
        <v>4.2000000000000003E-2</v>
      </c>
      <c r="J198" s="39">
        <f t="shared" si="100"/>
        <v>1.5214285714285713E-2</v>
      </c>
      <c r="K198" s="39">
        <f t="shared" si="101"/>
        <v>1.6428571428571428E-2</v>
      </c>
      <c r="L198" s="39">
        <f t="shared" si="102"/>
        <v>0</v>
      </c>
      <c r="M198" s="39">
        <f t="shared" si="103"/>
        <v>0</v>
      </c>
      <c r="N198" s="3">
        <v>5.6</v>
      </c>
      <c r="O198" s="39">
        <f t="shared" si="92"/>
        <v>5.7015306122448978E-3</v>
      </c>
      <c r="P198" s="39">
        <f t="shared" si="93"/>
        <v>8.0612244897959196E-3</v>
      </c>
      <c r="Q198" s="39">
        <f t="shared" si="94"/>
        <v>2.9336734693877551E-3</v>
      </c>
      <c r="R198" s="39">
        <f t="shared" si="95"/>
        <v>0</v>
      </c>
    </row>
    <row r="199" spans="5:18" ht="15" x14ac:dyDescent="0.2">
      <c r="E199" s="39" t="s">
        <v>1</v>
      </c>
      <c r="F199" s="39">
        <f t="shared" si="96"/>
        <v>0</v>
      </c>
      <c r="G199" s="39">
        <f t="shared" si="97"/>
        <v>0</v>
      </c>
      <c r="H199" s="39">
        <f t="shared" si="98"/>
        <v>0</v>
      </c>
      <c r="I199" s="39">
        <f t="shared" si="99"/>
        <v>0</v>
      </c>
      <c r="J199" s="39">
        <f t="shared" si="100"/>
        <v>0</v>
      </c>
      <c r="K199" s="39">
        <f t="shared" si="101"/>
        <v>0</v>
      </c>
      <c r="L199" s="39">
        <f t="shared" si="102"/>
        <v>0</v>
      </c>
      <c r="M199" s="39">
        <f t="shared" si="103"/>
        <v>0</v>
      </c>
      <c r="N199" s="3">
        <v>28</v>
      </c>
      <c r="O199" s="39">
        <f t="shared" si="92"/>
        <v>0</v>
      </c>
      <c r="P199" s="39">
        <f t="shared" si="93"/>
        <v>0</v>
      </c>
      <c r="Q199" s="39">
        <f t="shared" si="94"/>
        <v>0</v>
      </c>
      <c r="R199" s="39">
        <f t="shared" si="95"/>
        <v>0</v>
      </c>
    </row>
    <row r="200" spans="5:18" ht="15" x14ac:dyDescent="0.2">
      <c r="E200" s="39" t="s">
        <v>0</v>
      </c>
      <c r="F200" s="39">
        <f t="shared" si="96"/>
        <v>175.97357142857143</v>
      </c>
      <c r="G200" s="39">
        <f t="shared" si="97"/>
        <v>0</v>
      </c>
      <c r="H200" s="39">
        <f t="shared" si="98"/>
        <v>0</v>
      </c>
      <c r="I200" s="39">
        <f t="shared" si="99"/>
        <v>0</v>
      </c>
      <c r="J200" s="39">
        <f t="shared" si="100"/>
        <v>0</v>
      </c>
      <c r="K200" s="39">
        <f t="shared" si="101"/>
        <v>0</v>
      </c>
      <c r="L200" s="39">
        <f t="shared" si="102"/>
        <v>0</v>
      </c>
      <c r="M200" s="39">
        <f t="shared" si="103"/>
        <v>0</v>
      </c>
      <c r="N200" s="3">
        <v>170</v>
      </c>
      <c r="O200" s="39">
        <f t="shared" si="92"/>
        <v>1.0351386554621849</v>
      </c>
      <c r="P200" s="39">
        <f t="shared" si="93"/>
        <v>0</v>
      </c>
      <c r="Q200" s="39">
        <f t="shared" si="94"/>
        <v>0</v>
      </c>
      <c r="R200" s="39">
        <f t="shared" si="95"/>
        <v>0</v>
      </c>
    </row>
    <row r="201" spans="5:18" ht="16" x14ac:dyDescent="0.2">
      <c r="E201" s="95" t="s">
        <v>99</v>
      </c>
      <c r="F201" s="97" t="s">
        <v>128</v>
      </c>
      <c r="G201" s="98"/>
      <c r="H201" s="98"/>
      <c r="I201" s="98"/>
      <c r="J201" s="98"/>
      <c r="K201" s="98"/>
      <c r="L201" s="98"/>
      <c r="M201" s="98"/>
      <c r="N201" s="59" t="s">
        <v>104</v>
      </c>
      <c r="O201" s="47" t="s">
        <v>105</v>
      </c>
      <c r="P201" s="48" t="s">
        <v>106</v>
      </c>
      <c r="Q201" s="48" t="s">
        <v>107</v>
      </c>
      <c r="R201" s="49" t="s">
        <v>108</v>
      </c>
    </row>
    <row r="202" spans="5:18" ht="15" x14ac:dyDescent="0.2">
      <c r="E202" s="96"/>
      <c r="F202" s="65">
        <v>160</v>
      </c>
      <c r="G202" s="65">
        <v>160</v>
      </c>
      <c r="H202" s="65">
        <v>160</v>
      </c>
      <c r="I202" s="65">
        <v>160</v>
      </c>
      <c r="J202" s="65">
        <v>160</v>
      </c>
      <c r="K202" s="65">
        <v>160</v>
      </c>
      <c r="L202" s="65">
        <v>160</v>
      </c>
      <c r="M202" s="65">
        <v>160</v>
      </c>
      <c r="N202" s="60" t="s">
        <v>113</v>
      </c>
      <c r="O202" s="47" t="s">
        <v>27</v>
      </c>
      <c r="P202" s="48" t="s">
        <v>27</v>
      </c>
      <c r="Q202" s="48" t="s">
        <v>27</v>
      </c>
      <c r="R202" s="49" t="s">
        <v>27</v>
      </c>
    </row>
    <row r="203" spans="5:18" ht="15" x14ac:dyDescent="0.2">
      <c r="E203" s="39" t="s">
        <v>114</v>
      </c>
      <c r="F203" s="39">
        <f>F3/$F$202</f>
        <v>6.8125000000000003E-5</v>
      </c>
      <c r="G203" s="39">
        <f>G3/$G$202</f>
        <v>3.4374999999999995E-5</v>
      </c>
      <c r="H203" s="39">
        <f>H3/$H$202</f>
        <v>6.6249999999999998E-5</v>
      </c>
      <c r="I203" s="39">
        <f>I3/$I$202</f>
        <v>6.8125000000000003E-5</v>
      </c>
      <c r="J203" s="39">
        <f>J3/$J$202</f>
        <v>3.8125000000000005E-5</v>
      </c>
      <c r="K203" s="39">
        <f>K3/$K$202</f>
        <v>0</v>
      </c>
      <c r="L203" s="39">
        <f>L3/$L$202</f>
        <v>0</v>
      </c>
      <c r="M203" s="39">
        <f>M3/$M$202</f>
        <v>0</v>
      </c>
      <c r="N203" s="7">
        <v>5.7000000000000002E-2</v>
      </c>
      <c r="O203" s="39">
        <f>MAX(F203:G203)/N203</f>
        <v>1.1951754385964913E-3</v>
      </c>
      <c r="P203" s="39">
        <f>MAX(G203:H203)/N203</f>
        <v>1.1622807017543858E-3</v>
      </c>
      <c r="Q203" s="39">
        <f>MAX(J203:K203)/N203</f>
        <v>6.688596491228071E-4</v>
      </c>
      <c r="R203" s="39">
        <f>MAX(L203:M203)/N203</f>
        <v>0</v>
      </c>
    </row>
    <row r="204" spans="5:18" ht="15" x14ac:dyDescent="0.2">
      <c r="E204" s="39" t="s">
        <v>115</v>
      </c>
      <c r="F204" s="39">
        <f t="shared" ref="F204:F219" si="104">F4/$F$202</f>
        <v>0.65</v>
      </c>
      <c r="G204" s="39">
        <f t="shared" ref="G204:G220" si="105">G4/$G$202</f>
        <v>0.54125000000000001</v>
      </c>
      <c r="H204" s="39">
        <f t="shared" ref="H204:H220" si="106">H4/$H$202</f>
        <v>0.72499999999999998</v>
      </c>
      <c r="I204" s="39">
        <f t="shared" ref="I204:I220" si="107">I4/$I$202</f>
        <v>0.72499999999999998</v>
      </c>
      <c r="J204" s="39">
        <f t="shared" ref="J204:J220" si="108">J4/$J$202</f>
        <v>4.65E-2</v>
      </c>
      <c r="K204" s="39">
        <f t="shared" ref="K204:K220" si="109">K4/$K$202</f>
        <v>7.8125E-2</v>
      </c>
      <c r="L204" s="39">
        <f t="shared" ref="L204:L220" si="110">L4/$L$202</f>
        <v>1.3125000000000001E-2</v>
      </c>
      <c r="M204" s="39">
        <f t="shared" ref="M204:M220" si="111">M4/$M$202</f>
        <v>1.225E-2</v>
      </c>
      <c r="N204" s="7">
        <v>114.7</v>
      </c>
      <c r="O204" s="39">
        <f t="shared" ref="O204:O220" si="112">MAX(F204:G204)/N204</f>
        <v>5.6669572798605057E-3</v>
      </c>
      <c r="P204" s="39">
        <f t="shared" ref="P204:P220" si="113">MAX(G204:H204)/N204</f>
        <v>6.320836965998256E-3</v>
      </c>
      <c r="Q204" s="39">
        <f t="shared" ref="Q204:Q220" si="114">MAX(J204:K204)/N204</f>
        <v>6.8112467306015694E-4</v>
      </c>
      <c r="R204" s="39">
        <f t="shared" ref="R204:R220" si="115">MAX(L204:M204)/N204</f>
        <v>1.1442894507410637E-4</v>
      </c>
    </row>
    <row r="205" spans="5:18" ht="15" x14ac:dyDescent="0.2">
      <c r="E205" s="39" t="s">
        <v>116</v>
      </c>
      <c r="F205" s="39">
        <f t="shared" si="104"/>
        <v>0.88749999999999996</v>
      </c>
      <c r="G205" s="39">
        <f t="shared" si="105"/>
        <v>0.83750000000000002</v>
      </c>
      <c r="H205" s="39">
        <f t="shared" si="106"/>
        <v>1.575</v>
      </c>
      <c r="I205" s="39">
        <f t="shared" si="107"/>
        <v>1.3875</v>
      </c>
      <c r="J205" s="39">
        <f t="shared" si="108"/>
        <v>0.86875000000000002</v>
      </c>
      <c r="K205" s="39">
        <f t="shared" si="109"/>
        <v>0.86875000000000002</v>
      </c>
      <c r="L205" s="39">
        <f t="shared" si="110"/>
        <v>0.375</v>
      </c>
      <c r="M205" s="39">
        <f t="shared" si="111"/>
        <v>0.33750000000000002</v>
      </c>
      <c r="N205" s="6">
        <v>2900</v>
      </c>
      <c r="O205" s="39">
        <f t="shared" si="112"/>
        <v>3.0603448275862068E-4</v>
      </c>
      <c r="P205" s="39">
        <f t="shared" si="113"/>
        <v>5.4310344827586204E-4</v>
      </c>
      <c r="Q205" s="39">
        <f t="shared" si="114"/>
        <v>2.9956896551724141E-4</v>
      </c>
      <c r="R205" s="39">
        <f t="shared" si="115"/>
        <v>1.2931034482758621E-4</v>
      </c>
    </row>
    <row r="206" spans="5:18" ht="15" x14ac:dyDescent="0.2">
      <c r="E206" s="39" t="s">
        <v>117</v>
      </c>
      <c r="F206" s="39">
        <f t="shared" si="104"/>
        <v>0.13874999999999998</v>
      </c>
      <c r="G206" s="39">
        <f>G6/$G$202</f>
        <v>0.12562500000000001</v>
      </c>
      <c r="H206" s="39">
        <f t="shared" si="106"/>
        <v>0.121875</v>
      </c>
      <c r="I206" s="39">
        <f t="shared" si="107"/>
        <v>0.11125</v>
      </c>
      <c r="J206" s="39">
        <f t="shared" si="108"/>
        <v>1.6500000000000001E-2</v>
      </c>
      <c r="K206" s="39">
        <f t="shared" si="109"/>
        <v>2.30625E-2</v>
      </c>
      <c r="L206" s="39">
        <f t="shared" si="110"/>
        <v>0</v>
      </c>
      <c r="M206" s="39">
        <f t="shared" si="111"/>
        <v>0</v>
      </c>
      <c r="N206" s="3">
        <v>1.06</v>
      </c>
      <c r="O206" s="39">
        <f t="shared" si="112"/>
        <v>0.13089622641509432</v>
      </c>
      <c r="P206" s="39">
        <f t="shared" si="113"/>
        <v>0.11851415094339623</v>
      </c>
      <c r="Q206" s="39">
        <f t="shared" si="114"/>
        <v>2.1757075471698112E-2</v>
      </c>
      <c r="R206" s="39">
        <f t="shared" si="115"/>
        <v>0</v>
      </c>
    </row>
    <row r="207" spans="5:18" ht="15" x14ac:dyDescent="0.2">
      <c r="E207" s="39" t="s">
        <v>118</v>
      </c>
      <c r="F207" s="39">
        <f t="shared" si="104"/>
        <v>1.9937499999999999</v>
      </c>
      <c r="G207" s="39">
        <f t="shared" si="105"/>
        <v>1.4750000000000001</v>
      </c>
      <c r="H207" s="39">
        <f t="shared" si="106"/>
        <v>0.90625</v>
      </c>
      <c r="I207" s="39">
        <f t="shared" si="107"/>
        <v>0.88749999999999996</v>
      </c>
      <c r="J207" s="39">
        <f t="shared" si="108"/>
        <v>0.13750000000000001</v>
      </c>
      <c r="K207" s="39">
        <f t="shared" si="109"/>
        <v>0.10312499999999999</v>
      </c>
      <c r="L207" s="39">
        <f t="shared" si="110"/>
        <v>0</v>
      </c>
      <c r="M207" s="39">
        <f t="shared" si="111"/>
        <v>0</v>
      </c>
      <c r="N207" s="3">
        <v>6.3</v>
      </c>
      <c r="O207" s="39">
        <f t="shared" si="112"/>
        <v>0.31646825396825395</v>
      </c>
      <c r="P207" s="39">
        <f t="shared" si="113"/>
        <v>0.23412698412698416</v>
      </c>
      <c r="Q207" s="39">
        <f t="shared" si="114"/>
        <v>2.1825396825396828E-2</v>
      </c>
      <c r="R207" s="39">
        <f t="shared" si="115"/>
        <v>0</v>
      </c>
    </row>
    <row r="208" spans="5:18" ht="15" x14ac:dyDescent="0.2">
      <c r="E208" s="39" t="s">
        <v>16</v>
      </c>
      <c r="F208" s="39">
        <f>F8/$F$202</f>
        <v>0.10874999999999999</v>
      </c>
      <c r="G208" s="39">
        <f t="shared" si="105"/>
        <v>0.10625</v>
      </c>
      <c r="H208" s="39">
        <f t="shared" si="106"/>
        <v>0.14937499999999998</v>
      </c>
      <c r="I208" s="39">
        <f t="shared" si="107"/>
        <v>0.175625</v>
      </c>
      <c r="J208" s="39">
        <f t="shared" si="108"/>
        <v>7.4374999999999997E-2</v>
      </c>
      <c r="K208" s="39">
        <f t="shared" si="109"/>
        <v>7.1874999999999994E-2</v>
      </c>
      <c r="L208" s="39">
        <f t="shared" si="110"/>
        <v>0</v>
      </c>
      <c r="M208" s="39">
        <f t="shared" si="111"/>
        <v>0</v>
      </c>
      <c r="N208" s="3">
        <v>1650</v>
      </c>
      <c r="O208" s="39">
        <f t="shared" si="112"/>
        <v>6.5909090909090906E-5</v>
      </c>
      <c r="P208" s="39">
        <f t="shared" si="113"/>
        <v>9.0530303030303015E-5</v>
      </c>
      <c r="Q208" s="39">
        <f t="shared" si="114"/>
        <v>4.5075757575757577E-5</v>
      </c>
      <c r="R208" s="39">
        <f t="shared" si="115"/>
        <v>0</v>
      </c>
    </row>
    <row r="209" spans="5:18" ht="15" x14ac:dyDescent="0.2">
      <c r="E209" s="39" t="s">
        <v>119</v>
      </c>
      <c r="F209" s="39">
        <f t="shared" si="104"/>
        <v>4.7125000000000004</v>
      </c>
      <c r="G209" s="39">
        <f t="shared" si="105"/>
        <v>5.0875000000000004</v>
      </c>
      <c r="H209" s="39">
        <f t="shared" si="106"/>
        <v>6.25</v>
      </c>
      <c r="I209" s="39">
        <f t="shared" si="107"/>
        <v>6.1624999999999996</v>
      </c>
      <c r="J209" s="39">
        <f t="shared" si="108"/>
        <v>1.64375</v>
      </c>
      <c r="K209" s="39">
        <f t="shared" si="109"/>
        <v>1.7749999999999999</v>
      </c>
      <c r="L209" s="39">
        <f t="shared" si="110"/>
        <v>0.393125</v>
      </c>
      <c r="M209" s="39">
        <f>M9/$M$202</f>
        <v>0.38124999999999998</v>
      </c>
      <c r="N209" s="3">
        <v>34</v>
      </c>
      <c r="O209" s="39">
        <f t="shared" si="112"/>
        <v>0.14963235294117649</v>
      </c>
      <c r="P209" s="39">
        <f t="shared" si="113"/>
        <v>0.18382352941176472</v>
      </c>
      <c r="Q209" s="39">
        <f t="shared" si="114"/>
        <v>5.2205882352941171E-2</v>
      </c>
      <c r="R209" s="39">
        <f t="shared" si="115"/>
        <v>1.15625E-2</v>
      </c>
    </row>
    <row r="210" spans="5:18" ht="15" x14ac:dyDescent="0.2">
      <c r="E210" s="39" t="s">
        <v>120</v>
      </c>
      <c r="F210" s="39">
        <f t="shared" si="104"/>
        <v>0</v>
      </c>
      <c r="G210" s="39">
        <f t="shared" si="105"/>
        <v>0</v>
      </c>
      <c r="H210" s="39">
        <f t="shared" si="106"/>
        <v>0</v>
      </c>
      <c r="I210" s="39">
        <f t="shared" si="107"/>
        <v>0</v>
      </c>
      <c r="J210" s="39">
        <f t="shared" si="108"/>
        <v>0</v>
      </c>
      <c r="K210" s="39">
        <f t="shared" si="109"/>
        <v>0</v>
      </c>
      <c r="L210" s="39">
        <f t="shared" si="110"/>
        <v>0</v>
      </c>
      <c r="M210" s="39">
        <f t="shared" si="111"/>
        <v>0</v>
      </c>
      <c r="N210" s="3">
        <v>11900</v>
      </c>
      <c r="O210" s="39">
        <f t="shared" si="112"/>
        <v>0</v>
      </c>
      <c r="P210" s="39">
        <f t="shared" si="113"/>
        <v>0</v>
      </c>
      <c r="Q210" s="39">
        <f t="shared" si="114"/>
        <v>0</v>
      </c>
      <c r="R210" s="39">
        <f t="shared" si="115"/>
        <v>0</v>
      </c>
    </row>
    <row r="211" spans="5:18" ht="15" x14ac:dyDescent="0.2">
      <c r="E211" s="39" t="s">
        <v>11</v>
      </c>
      <c r="F211" s="39">
        <f t="shared" si="104"/>
        <v>0</v>
      </c>
      <c r="G211" s="39">
        <f t="shared" si="105"/>
        <v>0</v>
      </c>
      <c r="H211" s="39">
        <f t="shared" si="106"/>
        <v>0</v>
      </c>
      <c r="I211" s="39">
        <f t="shared" si="107"/>
        <v>0</v>
      </c>
      <c r="J211" s="39">
        <f t="shared" si="108"/>
        <v>0</v>
      </c>
      <c r="K211" s="39">
        <f t="shared" si="109"/>
        <v>0</v>
      </c>
      <c r="L211" s="39">
        <f t="shared" si="110"/>
        <v>0</v>
      </c>
      <c r="M211" s="39">
        <f t="shared" si="111"/>
        <v>0</v>
      </c>
      <c r="N211" s="3">
        <v>37</v>
      </c>
      <c r="O211" s="39">
        <f t="shared" si="112"/>
        <v>0</v>
      </c>
      <c r="P211" s="39">
        <f t="shared" si="113"/>
        <v>0</v>
      </c>
      <c r="Q211" s="39">
        <f t="shared" si="114"/>
        <v>0</v>
      </c>
      <c r="R211" s="39">
        <f t="shared" si="115"/>
        <v>0</v>
      </c>
    </row>
    <row r="212" spans="5:18" ht="15" x14ac:dyDescent="0.2">
      <c r="E212" s="39" t="s">
        <v>121</v>
      </c>
      <c r="F212" s="39">
        <f t="shared" si="104"/>
        <v>1.8124999999999999E-2</v>
      </c>
      <c r="G212" s="39">
        <f t="shared" si="105"/>
        <v>1.4999999999999999E-2</v>
      </c>
      <c r="H212" s="39">
        <f t="shared" si="106"/>
        <v>2.1874999999999999E-2</v>
      </c>
      <c r="I212" s="39">
        <f t="shared" si="107"/>
        <v>2.2499999999999999E-2</v>
      </c>
      <c r="J212" s="39">
        <f t="shared" si="108"/>
        <v>6.8750000000000009E-3</v>
      </c>
      <c r="K212" s="39">
        <f t="shared" si="109"/>
        <v>6.2500000000000003E-3</v>
      </c>
      <c r="L212" s="39">
        <f t="shared" si="110"/>
        <v>0</v>
      </c>
      <c r="M212" s="39">
        <f t="shared" si="111"/>
        <v>0</v>
      </c>
      <c r="N212" s="3">
        <v>4.0999999999999996</v>
      </c>
      <c r="O212" s="39">
        <f t="shared" si="112"/>
        <v>4.4207317073170736E-3</v>
      </c>
      <c r="P212" s="39">
        <f t="shared" si="113"/>
        <v>5.335365853658537E-3</v>
      </c>
      <c r="Q212" s="39">
        <f t="shared" si="114"/>
        <v>1.6768292682926833E-3</v>
      </c>
      <c r="R212" s="39">
        <f t="shared" si="115"/>
        <v>0</v>
      </c>
    </row>
    <row r="213" spans="5:18" ht="15" x14ac:dyDescent="0.2">
      <c r="E213" s="39" t="s">
        <v>122</v>
      </c>
      <c r="F213" s="39">
        <f t="shared" si="104"/>
        <v>9.125</v>
      </c>
      <c r="G213" s="39">
        <f t="shared" si="105"/>
        <v>10.875</v>
      </c>
      <c r="H213" s="39">
        <f t="shared" si="106"/>
        <v>11.6875</v>
      </c>
      <c r="I213" s="39">
        <f t="shared" si="107"/>
        <v>12.0625</v>
      </c>
      <c r="J213" s="39">
        <f t="shared" si="108"/>
        <v>3.8250000000000002</v>
      </c>
      <c r="K213" s="39">
        <f t="shared" si="109"/>
        <v>3.9937499999999999</v>
      </c>
      <c r="L213" s="39">
        <f t="shared" si="110"/>
        <v>0.79374999999999996</v>
      </c>
      <c r="M213" s="39">
        <f t="shared" si="111"/>
        <v>0.78125</v>
      </c>
      <c r="N213" s="3">
        <v>14.4</v>
      </c>
      <c r="O213" s="39">
        <f t="shared" si="112"/>
        <v>0.75520833333333326</v>
      </c>
      <c r="P213" s="39">
        <f t="shared" si="113"/>
        <v>0.81163194444444442</v>
      </c>
      <c r="Q213" s="39">
        <f t="shared" si="114"/>
        <v>0.27734375</v>
      </c>
      <c r="R213" s="39">
        <f t="shared" si="115"/>
        <v>5.5121527777777776E-2</v>
      </c>
    </row>
    <row r="214" spans="5:18" ht="15" x14ac:dyDescent="0.2">
      <c r="E214" s="39" t="s">
        <v>123</v>
      </c>
      <c r="F214" s="39">
        <f t="shared" si="104"/>
        <v>8.9999999999999993E-3</v>
      </c>
      <c r="G214" s="39">
        <f t="shared" si="105"/>
        <v>1.16875E-2</v>
      </c>
      <c r="H214" s="39">
        <f t="shared" si="106"/>
        <v>1.0374999999999999E-2</v>
      </c>
      <c r="I214" s="39">
        <f t="shared" si="107"/>
        <v>1.2562499999999999E-2</v>
      </c>
      <c r="J214" s="39">
        <f t="shared" si="108"/>
        <v>0</v>
      </c>
      <c r="K214" s="39">
        <f t="shared" si="109"/>
        <v>0</v>
      </c>
      <c r="L214" s="39">
        <f t="shared" si="110"/>
        <v>0</v>
      </c>
      <c r="M214" s="39">
        <f t="shared" si="111"/>
        <v>0</v>
      </c>
      <c r="N214" s="3">
        <v>0.19</v>
      </c>
      <c r="O214" s="39">
        <f t="shared" si="112"/>
        <v>6.1513157894736839E-2</v>
      </c>
      <c r="P214" s="39">
        <f t="shared" si="113"/>
        <v>6.1513157894736839E-2</v>
      </c>
      <c r="Q214" s="39">
        <f t="shared" si="114"/>
        <v>0</v>
      </c>
      <c r="R214" s="39">
        <f t="shared" si="115"/>
        <v>0</v>
      </c>
    </row>
    <row r="215" spans="5:18" ht="15" x14ac:dyDescent="0.2">
      <c r="E215" s="39" t="s">
        <v>124</v>
      </c>
      <c r="F215" s="39">
        <f t="shared" si="104"/>
        <v>8.1875000000000003E-2</v>
      </c>
      <c r="G215" s="39">
        <f t="shared" si="105"/>
        <v>7.1250000000000008E-2</v>
      </c>
      <c r="H215" s="39">
        <f t="shared" si="106"/>
        <v>0.11374999999999999</v>
      </c>
      <c r="I215" s="39">
        <f t="shared" si="107"/>
        <v>0.110625</v>
      </c>
      <c r="J215" s="39">
        <f t="shared" si="108"/>
        <v>3.0062499999999999E-2</v>
      </c>
      <c r="K215" s="39">
        <f t="shared" si="109"/>
        <v>3.4437499999999996E-2</v>
      </c>
      <c r="L215" s="39">
        <f t="shared" si="110"/>
        <v>6.3125000000000004E-3</v>
      </c>
      <c r="M215" s="39">
        <f t="shared" si="111"/>
        <v>6.3125000000000004E-3</v>
      </c>
      <c r="N215" s="3">
        <v>6.5</v>
      </c>
      <c r="O215" s="39">
        <f t="shared" si="112"/>
        <v>1.2596153846153847E-2</v>
      </c>
      <c r="P215" s="39">
        <f t="shared" si="113"/>
        <v>1.7499999999999998E-2</v>
      </c>
      <c r="Q215" s="39">
        <f t="shared" si="114"/>
        <v>5.2980769230769227E-3</v>
      </c>
      <c r="R215" s="39">
        <f t="shared" si="115"/>
        <v>9.711538461538462E-4</v>
      </c>
    </row>
    <row r="216" spans="5:18" ht="15" x14ac:dyDescent="0.2">
      <c r="E216" s="39" t="s">
        <v>125</v>
      </c>
      <c r="F216" s="39">
        <f t="shared" si="104"/>
        <v>0.55812499999999998</v>
      </c>
      <c r="G216" s="39">
        <f t="shared" si="105"/>
        <v>0.46312499999999995</v>
      </c>
      <c r="H216" s="39">
        <f t="shared" si="106"/>
        <v>0.55125000000000002</v>
      </c>
      <c r="I216" s="39">
        <f t="shared" si="107"/>
        <v>0.53249999999999997</v>
      </c>
      <c r="J216" s="39">
        <f t="shared" si="108"/>
        <v>0.296875</v>
      </c>
      <c r="K216" s="39">
        <f t="shared" si="109"/>
        <v>0.43687500000000001</v>
      </c>
      <c r="L216" s="39">
        <f t="shared" si="110"/>
        <v>9.3124999999999999E-2</v>
      </c>
      <c r="M216" s="39">
        <f t="shared" si="111"/>
        <v>8.5624999999999993E-2</v>
      </c>
      <c r="N216" s="3">
        <v>20</v>
      </c>
      <c r="O216" s="39">
        <f t="shared" si="112"/>
        <v>2.790625E-2</v>
      </c>
      <c r="P216" s="39">
        <f t="shared" si="113"/>
        <v>2.75625E-2</v>
      </c>
      <c r="Q216" s="39">
        <f t="shared" si="114"/>
        <v>2.1843750000000002E-2</v>
      </c>
      <c r="R216" s="39">
        <f t="shared" si="115"/>
        <v>4.6562499999999998E-3</v>
      </c>
    </row>
    <row r="217" spans="5:18" ht="15" x14ac:dyDescent="0.2">
      <c r="E217" s="39" t="s">
        <v>126</v>
      </c>
      <c r="F217" s="39">
        <f t="shared" si="104"/>
        <v>0.1125</v>
      </c>
      <c r="G217" s="39">
        <f t="shared" si="105"/>
        <v>2.8000000000000004E-2</v>
      </c>
      <c r="H217" s="39">
        <f t="shared" si="106"/>
        <v>0.20812499999999998</v>
      </c>
      <c r="I217" s="39">
        <f t="shared" si="107"/>
        <v>0.16312500000000002</v>
      </c>
      <c r="J217" s="39">
        <f t="shared" si="108"/>
        <v>0</v>
      </c>
      <c r="K217" s="39">
        <f t="shared" si="109"/>
        <v>6.3125000000000004E-3</v>
      </c>
      <c r="L217" s="39">
        <f t="shared" si="110"/>
        <v>0</v>
      </c>
      <c r="M217" s="39">
        <f t="shared" si="111"/>
        <v>0</v>
      </c>
      <c r="N217" s="3">
        <v>2.4</v>
      </c>
      <c r="O217" s="39">
        <f t="shared" si="112"/>
        <v>4.6875E-2</v>
      </c>
      <c r="P217" s="39">
        <f t="shared" si="113"/>
        <v>8.6718749999999997E-2</v>
      </c>
      <c r="Q217" s="39">
        <f t="shared" si="114"/>
        <v>2.6302083333333338E-3</v>
      </c>
      <c r="R217" s="39">
        <f t="shared" si="115"/>
        <v>0</v>
      </c>
    </row>
    <row r="218" spans="5:18" ht="15" x14ac:dyDescent="0.2">
      <c r="E218" s="39" t="s">
        <v>127</v>
      </c>
      <c r="F218" s="39">
        <f t="shared" si="104"/>
        <v>2.7937499999999997E-2</v>
      </c>
      <c r="G218" s="39">
        <f t="shared" si="105"/>
        <v>2.73125E-2</v>
      </c>
      <c r="H218" s="39">
        <f t="shared" si="106"/>
        <v>3.95E-2</v>
      </c>
      <c r="I218" s="39">
        <f t="shared" si="107"/>
        <v>3.6749999999999998E-2</v>
      </c>
      <c r="J218" s="39">
        <f t="shared" si="108"/>
        <v>1.33125E-2</v>
      </c>
      <c r="K218" s="39">
        <f t="shared" si="109"/>
        <v>1.4374999999999999E-2</v>
      </c>
      <c r="L218" s="39">
        <f t="shared" si="110"/>
        <v>0</v>
      </c>
      <c r="M218" s="39">
        <f t="shared" si="111"/>
        <v>0</v>
      </c>
      <c r="N218" s="3">
        <v>5.6</v>
      </c>
      <c r="O218" s="39">
        <f t="shared" si="112"/>
        <v>4.9888392857142857E-3</v>
      </c>
      <c r="P218" s="39">
        <f t="shared" si="113"/>
        <v>7.053571428571429E-3</v>
      </c>
      <c r="Q218" s="39">
        <f t="shared" si="114"/>
        <v>2.5669642857142857E-3</v>
      </c>
      <c r="R218" s="39">
        <f t="shared" si="115"/>
        <v>0</v>
      </c>
    </row>
    <row r="219" spans="5:18" ht="15" x14ac:dyDescent="0.2">
      <c r="E219" s="39" t="s">
        <v>1</v>
      </c>
      <c r="F219" s="39">
        <f t="shared" si="104"/>
        <v>0</v>
      </c>
      <c r="G219" s="39">
        <f t="shared" si="105"/>
        <v>0</v>
      </c>
      <c r="H219" s="39">
        <f t="shared" si="106"/>
        <v>0</v>
      </c>
      <c r="I219" s="39">
        <f t="shared" si="107"/>
        <v>0</v>
      </c>
      <c r="J219" s="39">
        <f t="shared" si="108"/>
        <v>0</v>
      </c>
      <c r="K219" s="39">
        <f t="shared" si="109"/>
        <v>0</v>
      </c>
      <c r="L219" s="39">
        <f t="shared" si="110"/>
        <v>0</v>
      </c>
      <c r="M219" s="39">
        <f t="shared" si="111"/>
        <v>0</v>
      </c>
      <c r="N219" s="3">
        <v>28</v>
      </c>
      <c r="O219" s="39">
        <f t="shared" si="112"/>
        <v>0</v>
      </c>
      <c r="P219" s="39">
        <f t="shared" si="113"/>
        <v>0</v>
      </c>
      <c r="Q219" s="39">
        <f t="shared" si="114"/>
        <v>0</v>
      </c>
      <c r="R219" s="39">
        <f t="shared" si="115"/>
        <v>0</v>
      </c>
    </row>
    <row r="220" spans="5:18" ht="15" x14ac:dyDescent="0.2">
      <c r="E220" s="39" t="s">
        <v>0</v>
      </c>
      <c r="F220" s="39">
        <f>F20/$F$202</f>
        <v>153.97687500000001</v>
      </c>
      <c r="G220" s="39">
        <f t="shared" si="105"/>
        <v>0</v>
      </c>
      <c r="H220" s="39">
        <f t="shared" si="106"/>
        <v>0</v>
      </c>
      <c r="I220" s="39">
        <f t="shared" si="107"/>
        <v>0</v>
      </c>
      <c r="J220" s="39">
        <f t="shared" si="108"/>
        <v>0</v>
      </c>
      <c r="K220" s="39">
        <f t="shared" si="109"/>
        <v>0</v>
      </c>
      <c r="L220" s="39">
        <f t="shared" si="110"/>
        <v>0</v>
      </c>
      <c r="M220" s="39">
        <f t="shared" si="111"/>
        <v>0</v>
      </c>
      <c r="N220" s="3">
        <v>170</v>
      </c>
      <c r="O220" s="39">
        <f t="shared" si="112"/>
        <v>0.90574632352941176</v>
      </c>
      <c r="P220" s="39">
        <f t="shared" si="113"/>
        <v>0</v>
      </c>
      <c r="Q220" s="39">
        <f t="shared" si="114"/>
        <v>0</v>
      </c>
      <c r="R220" s="39">
        <f t="shared" si="115"/>
        <v>0</v>
      </c>
    </row>
  </sheetData>
  <mergeCells count="22">
    <mergeCell ref="C1:D1"/>
    <mergeCell ref="S1:S2"/>
    <mergeCell ref="E21:E22"/>
    <mergeCell ref="F21:M21"/>
    <mergeCell ref="E41:E42"/>
    <mergeCell ref="F41:M41"/>
    <mergeCell ref="E61:E62"/>
    <mergeCell ref="F61:M61"/>
    <mergeCell ref="E81:E82"/>
    <mergeCell ref="F81:M81"/>
    <mergeCell ref="E101:E102"/>
    <mergeCell ref="F101:M101"/>
    <mergeCell ref="E181:E182"/>
    <mergeCell ref="F181:M181"/>
    <mergeCell ref="E201:E202"/>
    <mergeCell ref="F201:M201"/>
    <mergeCell ref="E121:E122"/>
    <mergeCell ref="F121:M121"/>
    <mergeCell ref="E141:E142"/>
    <mergeCell ref="F141:M141"/>
    <mergeCell ref="E161:E162"/>
    <mergeCell ref="F161:M161"/>
  </mergeCells>
  <conditionalFormatting sqref="F3:M20">
    <cfRule type="cellIs" dxfId="32" priority="1" operator="equal">
      <formula>0</formula>
    </cfRule>
  </conditionalFormatting>
  <conditionalFormatting sqref="O3:O19">
    <cfRule type="containsText" dxfId="31" priority="24" operator="containsText" text="&gt;1">
      <formula>NOT(ISERROR(SEARCH("&gt;1",O3)))</formula>
    </cfRule>
  </conditionalFormatting>
  <conditionalFormatting sqref="O3:R5">
    <cfRule type="cellIs" dxfId="30" priority="27" operator="greaterThan">
      <formula>1</formula>
    </cfRule>
  </conditionalFormatting>
  <conditionalFormatting sqref="O3:R19">
    <cfRule type="colorScale" priority="26">
      <colorScale>
        <cfvo type="num" val="&quot;&lt;1&quot;"/>
        <cfvo type="num" val="&quot;&gt;1&quot;"/>
        <color theme="9"/>
        <color theme="5" tint="0.39997558519241921"/>
      </colorScale>
    </cfRule>
    <cfRule type="colorScale" priority="25">
      <colorScale>
        <cfvo type="num" val="&quot;&lt;1&quot;"/>
        <cfvo type="num" val="&quot;&gt;1&quot;"/>
        <color theme="9"/>
        <color theme="5" tint="-0.249977111117893"/>
      </colorScale>
    </cfRule>
  </conditionalFormatting>
  <conditionalFormatting sqref="O3:R20">
    <cfRule type="cellIs" dxfId="29" priority="13" operator="greaterThan">
      <formula>1</formula>
    </cfRule>
    <cfRule type="cellIs" dxfId="28" priority="12" operator="lessThan">
      <formula>1</formula>
    </cfRule>
  </conditionalFormatting>
  <conditionalFormatting sqref="O23:R40">
    <cfRule type="cellIs" dxfId="27" priority="10" operator="lessThan">
      <formula>1</formula>
    </cfRule>
    <cfRule type="cellIs" dxfId="26" priority="11" operator="greaterThan">
      <formula>1</formula>
    </cfRule>
  </conditionalFormatting>
  <conditionalFormatting sqref="O43:R60">
    <cfRule type="cellIs" dxfId="25" priority="23" operator="greaterThan">
      <formula>1</formula>
    </cfRule>
    <cfRule type="cellIs" dxfId="24" priority="22" operator="lessThan">
      <formula>1</formula>
    </cfRule>
  </conditionalFormatting>
  <conditionalFormatting sqref="O63:R80">
    <cfRule type="cellIs" dxfId="23" priority="21" operator="greaterThan">
      <formula>1</formula>
    </cfRule>
    <cfRule type="cellIs" dxfId="22" priority="20" operator="lessThan">
      <formula>1</formula>
    </cfRule>
  </conditionalFormatting>
  <conditionalFormatting sqref="O83:R100">
    <cfRule type="cellIs" dxfId="21" priority="18" operator="lessThan">
      <formula>1</formula>
    </cfRule>
    <cfRule type="cellIs" dxfId="20" priority="19" operator="greaterThan">
      <formula>1</formula>
    </cfRule>
  </conditionalFormatting>
  <conditionalFormatting sqref="O103:R120">
    <cfRule type="cellIs" dxfId="19" priority="16" operator="lessThan">
      <formula>1</formula>
    </cfRule>
    <cfRule type="cellIs" dxfId="18" priority="17" operator="greaterThan">
      <formula>1</formula>
    </cfRule>
  </conditionalFormatting>
  <conditionalFormatting sqref="O123:R140">
    <cfRule type="cellIs" dxfId="17" priority="14" operator="lessThan">
      <formula>1</formula>
    </cfRule>
    <cfRule type="cellIs" dxfId="16" priority="15" operator="greaterThan">
      <formula>1</formula>
    </cfRule>
  </conditionalFormatting>
  <conditionalFormatting sqref="O143:R160">
    <cfRule type="cellIs" dxfId="15" priority="8" operator="lessThan">
      <formula>1</formula>
    </cfRule>
    <cfRule type="cellIs" dxfId="14" priority="9" operator="greaterThan">
      <formula>1</formula>
    </cfRule>
  </conditionalFormatting>
  <conditionalFormatting sqref="O163:R180">
    <cfRule type="cellIs" dxfId="13" priority="7" operator="greaterThan">
      <formula>1</formula>
    </cfRule>
    <cfRule type="cellIs" dxfId="12" priority="6" operator="lessThan">
      <formula>1</formula>
    </cfRule>
  </conditionalFormatting>
  <conditionalFormatting sqref="O183:R200">
    <cfRule type="cellIs" dxfId="11" priority="5" operator="greaterThan">
      <formula>1</formula>
    </cfRule>
    <cfRule type="cellIs" dxfId="10" priority="4" operator="lessThan">
      <formula>1</formula>
    </cfRule>
  </conditionalFormatting>
  <conditionalFormatting sqref="O203:R220">
    <cfRule type="cellIs" dxfId="9" priority="3" operator="greaterThan">
      <formula>1</formula>
    </cfRule>
    <cfRule type="cellIs" dxfId="8" priority="2" operator="lessThan">
      <formula>1</formula>
    </cfRule>
  </conditionalFormatting>
  <pageMargins left="0.7" right="0.7" top="0.75" bottom="0.75" header="0.3" footer="0.3"/>
  <drawing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FB200-8D26-4C75-9E25-EF792B18C438}">
  <dimension ref="A1:W85"/>
  <sheetViews>
    <sheetView zoomScale="88" zoomScaleNormal="70" workbookViewId="0">
      <selection activeCell="B37" sqref="B37"/>
    </sheetView>
  </sheetViews>
  <sheetFormatPr baseColWidth="10" defaultColWidth="8.83203125" defaultRowHeight="15" x14ac:dyDescent="0.2"/>
  <cols>
    <col min="1" max="1" width="17.33203125" bestFit="1" customWidth="1"/>
    <col min="2" max="2" width="14" customWidth="1"/>
    <col min="3" max="3" width="16.5" customWidth="1"/>
    <col min="4" max="4" width="20.1640625" customWidth="1"/>
    <col min="5" max="5" width="18.6640625" customWidth="1"/>
    <col min="6" max="6" width="17.1640625" customWidth="1"/>
    <col min="7" max="7" width="15.5" customWidth="1"/>
    <col min="8" max="9" width="8.83203125" customWidth="1"/>
    <col min="13" max="13" width="14" bestFit="1" customWidth="1"/>
    <col min="14" max="14" width="10.1640625" bestFit="1" customWidth="1"/>
    <col min="15" max="15" width="20.1640625" bestFit="1" customWidth="1"/>
    <col min="16" max="16" width="18.6640625" bestFit="1" customWidth="1"/>
    <col min="17" max="17" width="17.1640625" bestFit="1" customWidth="1"/>
    <col min="18" max="18" width="15.5" bestFit="1" customWidth="1"/>
  </cols>
  <sheetData>
    <row r="1" spans="1:23" x14ac:dyDescent="0.2">
      <c r="A1" s="91" t="s">
        <v>69</v>
      </c>
      <c r="B1" s="92"/>
      <c r="C1" s="92"/>
      <c r="D1" s="92"/>
      <c r="E1" s="92"/>
      <c r="F1" s="92"/>
    </row>
    <row r="2" spans="1:23" x14ac:dyDescent="0.2">
      <c r="A2" s="1" t="s">
        <v>68</v>
      </c>
      <c r="B2" s="1">
        <v>0.2</v>
      </c>
      <c r="C2" s="1" t="s">
        <v>7</v>
      </c>
      <c r="D2" s="1"/>
      <c r="E2" s="1"/>
      <c r="F2" s="1"/>
    </row>
    <row r="3" spans="1:23" x14ac:dyDescent="0.2">
      <c r="A3" s="1" t="s">
        <v>64</v>
      </c>
      <c r="B3" s="1">
        <v>0.1</v>
      </c>
      <c r="C3" s="1" t="s">
        <v>7</v>
      </c>
      <c r="D3" s="15"/>
      <c r="E3" s="15"/>
      <c r="F3" s="15"/>
      <c r="G3" s="15"/>
      <c r="S3">
        <v>0.3</v>
      </c>
      <c r="T3" t="s">
        <v>168</v>
      </c>
      <c r="U3" t="s">
        <v>171</v>
      </c>
      <c r="V3" t="s">
        <v>169</v>
      </c>
      <c r="W3" t="s">
        <v>170</v>
      </c>
    </row>
    <row r="4" spans="1:23" x14ac:dyDescent="0.2">
      <c r="A4" s="1" t="s">
        <v>62</v>
      </c>
      <c r="B4" s="1">
        <v>0.3</v>
      </c>
      <c r="C4" s="1" t="s">
        <v>7</v>
      </c>
      <c r="D4" s="1"/>
      <c r="E4" s="1"/>
      <c r="F4" s="1"/>
      <c r="S4" s="77">
        <v>8.9999999999999993E-3</v>
      </c>
      <c r="T4" t="s">
        <v>77</v>
      </c>
      <c r="U4" s="78">
        <f>$S$4*24*W4</f>
        <v>0.21599999999999997</v>
      </c>
      <c r="V4" s="78">
        <f>(S4*24)/S3</f>
        <v>0.72</v>
      </c>
      <c r="W4">
        <v>1</v>
      </c>
    </row>
    <row r="5" spans="1:23" x14ac:dyDescent="0.2">
      <c r="A5" s="1" t="s">
        <v>60</v>
      </c>
      <c r="B5" s="1">
        <v>6.0000000000000001E-3</v>
      </c>
      <c r="C5" s="1" t="s">
        <v>7</v>
      </c>
      <c r="D5" s="1"/>
      <c r="E5" s="1"/>
      <c r="F5" s="1"/>
      <c r="U5" s="78">
        <f t="shared" ref="U5:U16" si="0">$S$4*24*W5</f>
        <v>0.43199999999999994</v>
      </c>
      <c r="V5" s="78">
        <f>(S4*48)/S3</f>
        <v>1.44</v>
      </c>
      <c r="W5">
        <v>2</v>
      </c>
    </row>
    <row r="6" spans="1:23" x14ac:dyDescent="0.2">
      <c r="A6" s="1" t="s">
        <v>55</v>
      </c>
      <c r="B6" s="1">
        <v>1720</v>
      </c>
      <c r="C6" s="1" t="s">
        <v>47</v>
      </c>
      <c r="U6" s="78">
        <f t="shared" si="0"/>
        <v>0.64799999999999991</v>
      </c>
      <c r="V6" s="78">
        <f>(S4*24*W6)/S3</f>
        <v>2.1599999999999997</v>
      </c>
      <c r="W6">
        <v>3</v>
      </c>
    </row>
    <row r="7" spans="1:23" x14ac:dyDescent="0.2">
      <c r="A7" s="1" t="s">
        <v>52</v>
      </c>
      <c r="B7" s="1">
        <v>1720</v>
      </c>
      <c r="C7" s="1" t="s">
        <v>47</v>
      </c>
      <c r="U7" s="78">
        <f t="shared" si="0"/>
        <v>0.86399999999999988</v>
      </c>
      <c r="V7" s="78">
        <f>($S$4*24*W7)/$S$3</f>
        <v>2.88</v>
      </c>
      <c r="W7">
        <v>4</v>
      </c>
    </row>
    <row r="8" spans="1:23" x14ac:dyDescent="0.2">
      <c r="A8" s="1" t="s">
        <v>49</v>
      </c>
      <c r="B8" s="1">
        <v>1780</v>
      </c>
      <c r="C8" s="1" t="s">
        <v>47</v>
      </c>
      <c r="D8" s="1"/>
      <c r="E8" s="1"/>
      <c r="F8" s="1"/>
      <c r="U8" s="78">
        <f t="shared" si="0"/>
        <v>1.0799999999999998</v>
      </c>
      <c r="V8" s="78">
        <f t="shared" ref="V8:V16" si="1">($S$4*24*W8)/$S$3</f>
        <v>3.5999999999999996</v>
      </c>
      <c r="W8">
        <v>5</v>
      </c>
    </row>
    <row r="9" spans="1:23" x14ac:dyDescent="0.2">
      <c r="A9" s="1" t="s">
        <v>48</v>
      </c>
      <c r="B9" s="1">
        <v>1380</v>
      </c>
      <c r="C9" s="1" t="s">
        <v>47</v>
      </c>
      <c r="D9" s="1"/>
      <c r="E9" s="1"/>
      <c r="F9" s="1"/>
      <c r="U9" s="78">
        <f t="shared" si="0"/>
        <v>1.2959999999999998</v>
      </c>
      <c r="V9" s="78">
        <f t="shared" si="1"/>
        <v>4.3199999999999994</v>
      </c>
      <c r="W9">
        <v>6</v>
      </c>
    </row>
    <row r="10" spans="1:23" ht="16" thickBot="1" x14ac:dyDescent="0.25">
      <c r="A10" s="105" t="s">
        <v>95</v>
      </c>
      <c r="B10" s="106"/>
      <c r="C10" s="106"/>
      <c r="D10" s="106"/>
      <c r="E10" s="106"/>
      <c r="F10" s="106"/>
      <c r="U10" s="78">
        <f t="shared" si="0"/>
        <v>1.5119999999999998</v>
      </c>
      <c r="V10" s="78">
        <f t="shared" si="1"/>
        <v>5.0399999999999991</v>
      </c>
      <c r="W10">
        <v>7</v>
      </c>
    </row>
    <row r="11" spans="1:23" x14ac:dyDescent="0.2">
      <c r="A11" s="107" t="s">
        <v>8</v>
      </c>
      <c r="B11" s="107"/>
      <c r="C11" s="107"/>
      <c r="D11" s="107" t="s">
        <v>97</v>
      </c>
      <c r="E11" s="107"/>
      <c r="F11" s="107"/>
      <c r="U11" s="78">
        <f t="shared" si="0"/>
        <v>1.7279999999999998</v>
      </c>
      <c r="V11" s="78">
        <f t="shared" si="1"/>
        <v>5.76</v>
      </c>
      <c r="W11">
        <v>8</v>
      </c>
    </row>
    <row r="12" spans="1:23" x14ac:dyDescent="0.2">
      <c r="A12" s="1" t="s">
        <v>64</v>
      </c>
      <c r="B12" s="1">
        <v>0.8</v>
      </c>
      <c r="C12" s="1" t="s">
        <v>45</v>
      </c>
      <c r="D12" s="1" t="s">
        <v>64</v>
      </c>
      <c r="E12" s="1">
        <v>0.8</v>
      </c>
      <c r="F12" s="1" t="s">
        <v>45</v>
      </c>
      <c r="G12" s="12"/>
      <c r="U12" s="78">
        <f t="shared" si="0"/>
        <v>1.9439999999999997</v>
      </c>
      <c r="V12" s="78">
        <f t="shared" si="1"/>
        <v>6.4799999999999995</v>
      </c>
      <c r="W12">
        <v>9</v>
      </c>
    </row>
    <row r="13" spans="1:23" x14ac:dyDescent="0.2">
      <c r="A13" s="1" t="s">
        <v>62</v>
      </c>
      <c r="B13" s="1">
        <v>1</v>
      </c>
      <c r="C13" s="1" t="s">
        <v>7</v>
      </c>
      <c r="D13" s="1" t="s">
        <v>62</v>
      </c>
      <c r="E13" s="1">
        <v>1</v>
      </c>
      <c r="F13" s="1" t="s">
        <v>7</v>
      </c>
      <c r="G13" s="12"/>
      <c r="U13" s="78">
        <f t="shared" si="0"/>
        <v>2.1599999999999997</v>
      </c>
      <c r="V13" s="78">
        <f t="shared" si="1"/>
        <v>7.1999999999999993</v>
      </c>
      <c r="W13">
        <v>10</v>
      </c>
    </row>
    <row r="14" spans="1:23" x14ac:dyDescent="0.2">
      <c r="A14" s="1" t="s">
        <v>78</v>
      </c>
      <c r="B14" s="1">
        <v>4</v>
      </c>
      <c r="C14" s="1" t="s">
        <v>7</v>
      </c>
      <c r="D14" s="1" t="s">
        <v>78</v>
      </c>
      <c r="E14" s="1">
        <v>5</v>
      </c>
      <c r="F14" s="1" t="s">
        <v>7</v>
      </c>
      <c r="G14" s="12"/>
      <c r="U14" s="78">
        <f t="shared" si="0"/>
        <v>2.3759999999999994</v>
      </c>
      <c r="V14" s="78">
        <f t="shared" si="1"/>
        <v>7.9199999999999982</v>
      </c>
      <c r="W14">
        <v>11</v>
      </c>
    </row>
    <row r="15" spans="1:23" x14ac:dyDescent="0.2">
      <c r="A15" s="1" t="s">
        <v>79</v>
      </c>
      <c r="B15" s="1">
        <v>8</v>
      </c>
      <c r="C15" s="1" t="s">
        <v>7</v>
      </c>
      <c r="D15" s="1" t="s">
        <v>79</v>
      </c>
      <c r="E15" s="1">
        <v>10</v>
      </c>
      <c r="F15" s="1" t="s">
        <v>7</v>
      </c>
      <c r="G15" s="12"/>
      <c r="U15" s="78">
        <f t="shared" si="0"/>
        <v>2.5919999999999996</v>
      </c>
      <c r="V15" s="78">
        <f t="shared" si="1"/>
        <v>8.6399999999999988</v>
      </c>
      <c r="W15">
        <v>12</v>
      </c>
    </row>
    <row r="16" spans="1:23" x14ac:dyDescent="0.2">
      <c r="A16" s="1" t="s">
        <v>70</v>
      </c>
      <c r="B16" s="1">
        <f>(B15+B14)*B12/2</f>
        <v>4.8000000000000007</v>
      </c>
      <c r="C16" s="1" t="s">
        <v>34</v>
      </c>
      <c r="D16" s="1" t="s">
        <v>83</v>
      </c>
      <c r="E16" s="1">
        <f>(E15+E14)*B12/2</f>
        <v>6</v>
      </c>
      <c r="F16" s="1" t="s">
        <v>34</v>
      </c>
      <c r="G16" s="12"/>
      <c r="U16" s="78">
        <f t="shared" si="0"/>
        <v>2.8079999999999998</v>
      </c>
      <c r="V16" s="78">
        <f t="shared" si="1"/>
        <v>9.36</v>
      </c>
      <c r="W16">
        <v>13</v>
      </c>
    </row>
    <row r="17" spans="1:7" x14ac:dyDescent="0.2">
      <c r="A17" s="1" t="s">
        <v>71</v>
      </c>
      <c r="B17" s="1">
        <f>(B14+B15)*B13/2</f>
        <v>6</v>
      </c>
      <c r="C17" s="1" t="s">
        <v>34</v>
      </c>
      <c r="D17" s="1" t="s">
        <v>80</v>
      </c>
      <c r="E17" s="1">
        <f>(E14+E15)*B13/2</f>
        <v>7.5</v>
      </c>
      <c r="F17" s="1" t="s">
        <v>34</v>
      </c>
      <c r="G17" s="1"/>
    </row>
    <row r="18" spans="1:7" x14ac:dyDescent="0.2">
      <c r="A18" s="1" t="s">
        <v>37</v>
      </c>
      <c r="B18" s="1">
        <v>1</v>
      </c>
      <c r="C18" s="1" t="s">
        <v>7</v>
      </c>
      <c r="D18" s="1" t="s">
        <v>37</v>
      </c>
      <c r="E18" s="1">
        <v>1</v>
      </c>
      <c r="F18" s="1" t="s">
        <v>7</v>
      </c>
      <c r="G18" s="1"/>
    </row>
    <row r="19" spans="1:7" x14ac:dyDescent="0.2">
      <c r="A19" s="1" t="s">
        <v>72</v>
      </c>
      <c r="B19" s="1">
        <f>B16*B18</f>
        <v>4.8000000000000007</v>
      </c>
      <c r="C19" s="1" t="s">
        <v>33</v>
      </c>
      <c r="D19" s="1" t="s">
        <v>81</v>
      </c>
      <c r="E19" s="1">
        <f>E16*E18</f>
        <v>6</v>
      </c>
      <c r="F19" s="1" t="s">
        <v>33</v>
      </c>
      <c r="G19" s="1"/>
    </row>
    <row r="20" spans="1:7" x14ac:dyDescent="0.2">
      <c r="A20" s="1" t="s">
        <v>73</v>
      </c>
      <c r="B20" s="1">
        <f>B17*B18</f>
        <v>6</v>
      </c>
      <c r="C20" s="1" t="s">
        <v>34</v>
      </c>
      <c r="D20" s="1" t="s">
        <v>82</v>
      </c>
      <c r="E20" s="1">
        <f>E17*E18</f>
        <v>7.5</v>
      </c>
      <c r="F20" s="1" t="s">
        <v>34</v>
      </c>
      <c r="G20" s="1"/>
    </row>
    <row r="21" spans="1:7" ht="16" thickBot="1" x14ac:dyDescent="0.25">
      <c r="A21" s="105" t="s">
        <v>96</v>
      </c>
      <c r="B21" s="106"/>
      <c r="C21" s="106"/>
      <c r="D21" s="106"/>
      <c r="E21" s="106"/>
      <c r="F21" s="106"/>
      <c r="G21" s="1"/>
    </row>
    <row r="22" spans="1:7" x14ac:dyDescent="0.2">
      <c r="A22" s="1" t="s">
        <v>74</v>
      </c>
      <c r="B22" s="1">
        <v>2.4</v>
      </c>
      <c r="C22" s="1" t="s">
        <v>89</v>
      </c>
      <c r="D22" s="1" t="s">
        <v>36</v>
      </c>
      <c r="E22" s="1">
        <v>0.2</v>
      </c>
      <c r="F22" s="1" t="s">
        <v>89</v>
      </c>
    </row>
    <row r="23" spans="1:7" x14ac:dyDescent="0.2">
      <c r="A23" s="1" t="s">
        <v>91</v>
      </c>
      <c r="B23" s="17">
        <f>B22*B16</f>
        <v>11.520000000000001</v>
      </c>
      <c r="C23" s="1" t="s">
        <v>53</v>
      </c>
      <c r="D23" s="1" t="s">
        <v>92</v>
      </c>
      <c r="E23" s="17">
        <f>E22*B16</f>
        <v>0.96000000000000019</v>
      </c>
      <c r="F23" s="1" t="s">
        <v>53</v>
      </c>
    </row>
    <row r="24" spans="1:7" x14ac:dyDescent="0.2">
      <c r="A24" s="1" t="s">
        <v>90</v>
      </c>
      <c r="B24" s="17">
        <f>B22*B17</f>
        <v>14.399999999999999</v>
      </c>
      <c r="C24" s="1" t="s">
        <v>53</v>
      </c>
      <c r="D24" s="1" t="s">
        <v>94</v>
      </c>
      <c r="E24" s="82">
        <f>E22*B17</f>
        <v>1.2000000000000002</v>
      </c>
      <c r="F24" s="1" t="s">
        <v>53</v>
      </c>
    </row>
    <row r="25" spans="1:7" x14ac:dyDescent="0.2">
      <c r="A25" s="1" t="s">
        <v>140</v>
      </c>
      <c r="B25" s="17">
        <f>B23*24/B19</f>
        <v>57.599999999999994</v>
      </c>
      <c r="C25" s="1"/>
      <c r="D25" s="1" t="s">
        <v>141</v>
      </c>
      <c r="E25" s="17">
        <f>E24*24/B20</f>
        <v>4.8000000000000007</v>
      </c>
      <c r="F25" s="1"/>
    </row>
    <row r="26" spans="1:7" x14ac:dyDescent="0.2">
      <c r="A26" s="12" t="s">
        <v>35</v>
      </c>
      <c r="B26" s="12">
        <f>(0.05+0.1)/2</f>
        <v>7.5000000000000011E-2</v>
      </c>
      <c r="C26" s="12" t="s">
        <v>15</v>
      </c>
      <c r="D26" s="18" t="s">
        <v>86</v>
      </c>
      <c r="E26" s="18">
        <f>B26*3600</f>
        <v>270.00000000000006</v>
      </c>
      <c r="F26" s="18" t="s">
        <v>89</v>
      </c>
    </row>
    <row r="27" spans="1:7" x14ac:dyDescent="0.2">
      <c r="A27" s="12" t="s">
        <v>84</v>
      </c>
      <c r="B27" s="12">
        <f>B26*E17</f>
        <v>0.56250000000000011</v>
      </c>
      <c r="C27" s="12" t="s">
        <v>12</v>
      </c>
      <c r="D27" s="18" t="s">
        <v>88</v>
      </c>
      <c r="E27" s="18">
        <f>B27*3600</f>
        <v>2025.0000000000005</v>
      </c>
      <c r="F27" s="18" t="s">
        <v>53</v>
      </c>
    </row>
    <row r="28" spans="1:7" x14ac:dyDescent="0.2">
      <c r="A28" s="12" t="s">
        <v>85</v>
      </c>
      <c r="B28" s="16">
        <f>B26*E19</f>
        <v>0.45000000000000007</v>
      </c>
      <c r="C28" s="12" t="s">
        <v>12</v>
      </c>
      <c r="D28" s="18" t="s">
        <v>87</v>
      </c>
      <c r="E28" s="19">
        <f>B28*60*60</f>
        <v>1620.0000000000002</v>
      </c>
      <c r="F28" s="18" t="s">
        <v>53</v>
      </c>
    </row>
    <row r="29" spans="1:7" x14ac:dyDescent="0.2">
      <c r="A29" s="14" t="s">
        <v>75</v>
      </c>
      <c r="B29" s="2">
        <v>2.0000000000000002E-5</v>
      </c>
      <c r="C29" s="1" t="s">
        <v>21</v>
      </c>
      <c r="D29" s="14" t="s">
        <v>93</v>
      </c>
      <c r="E29" s="2">
        <f>B29*60</f>
        <v>1.2000000000000001E-3</v>
      </c>
      <c r="F29" s="1" t="s">
        <v>53</v>
      </c>
    </row>
    <row r="30" spans="1:7" x14ac:dyDescent="0.2">
      <c r="A30" s="1" t="s">
        <v>173</v>
      </c>
      <c r="B30" s="17">
        <f>E28*24/E19</f>
        <v>6480.0000000000009</v>
      </c>
      <c r="C30" s="1"/>
      <c r="D30" s="1" t="s">
        <v>174</v>
      </c>
      <c r="E30" s="17">
        <f>E27*24/E20</f>
        <v>6480.0000000000018</v>
      </c>
      <c r="F30" s="1"/>
    </row>
    <row r="31" spans="1:7" x14ac:dyDescent="0.2">
      <c r="A31" s="14" t="s">
        <v>76</v>
      </c>
      <c r="B31" s="2">
        <f>B29*60000</f>
        <v>1.2000000000000002</v>
      </c>
      <c r="C31" s="1" t="s">
        <v>77</v>
      </c>
      <c r="D31" s="14"/>
      <c r="E31" s="2"/>
      <c r="F31" s="1"/>
    </row>
    <row r="32" spans="1:7" ht="16" thickBot="1" x14ac:dyDescent="0.25">
      <c r="A32" s="105" t="s">
        <v>98</v>
      </c>
      <c r="B32" s="106"/>
      <c r="C32" s="106"/>
      <c r="D32" s="106"/>
      <c r="E32" s="106"/>
      <c r="F32" s="106"/>
    </row>
    <row r="33" spans="1:22" x14ac:dyDescent="0.2">
      <c r="A33" s="1" t="s">
        <v>67</v>
      </c>
      <c r="B33" s="1" t="s">
        <v>66</v>
      </c>
      <c r="C33" s="1" t="s">
        <v>65</v>
      </c>
      <c r="D33" s="1"/>
      <c r="E33" s="1"/>
      <c r="F33" s="1"/>
    </row>
    <row r="34" spans="1:22" x14ac:dyDescent="0.2">
      <c r="A34" s="1" t="s">
        <v>63</v>
      </c>
      <c r="B34" s="1">
        <v>0.3</v>
      </c>
      <c r="C34" s="1" t="s">
        <v>58</v>
      </c>
      <c r="D34" s="1"/>
      <c r="E34" s="1"/>
      <c r="F34" s="1"/>
    </row>
    <row r="35" spans="1:22" x14ac:dyDescent="0.2">
      <c r="A35" s="1" t="s">
        <v>61</v>
      </c>
      <c r="B35" s="1">
        <f>B3*B5*B9*B18</f>
        <v>0.82800000000000007</v>
      </c>
      <c r="C35" s="1" t="s">
        <v>58</v>
      </c>
    </row>
    <row r="36" spans="1:22" x14ac:dyDescent="0.2">
      <c r="A36" s="1" t="s">
        <v>59</v>
      </c>
      <c r="B36" s="1">
        <f>B4*B9*B5*B18</f>
        <v>2.484</v>
      </c>
      <c r="C36" s="1" t="s">
        <v>58</v>
      </c>
    </row>
    <row r="37" spans="1:22" x14ac:dyDescent="0.2">
      <c r="A37" s="1" t="s">
        <v>57</v>
      </c>
      <c r="B37" s="1">
        <v>9</v>
      </c>
      <c r="C37" s="1" t="s">
        <v>56</v>
      </c>
      <c r="D37" s="14">
        <f>B37/1000</f>
        <v>8.9999999999999993E-3</v>
      </c>
      <c r="E37" t="s">
        <v>19</v>
      </c>
    </row>
    <row r="38" spans="1:22" x14ac:dyDescent="0.2">
      <c r="A38" s="1" t="s">
        <v>54</v>
      </c>
      <c r="B38" s="1">
        <f>D37/1000</f>
        <v>8.9999999999999985E-6</v>
      </c>
      <c r="C38" s="1" t="s">
        <v>53</v>
      </c>
    </row>
    <row r="39" spans="1:22" x14ac:dyDescent="0.2">
      <c r="A39" s="1" t="s">
        <v>51</v>
      </c>
      <c r="B39" s="1">
        <f>D37*24</f>
        <v>0.21599999999999997</v>
      </c>
      <c r="C39" s="1" t="s">
        <v>50</v>
      </c>
      <c r="D39" s="14">
        <v>2.1599999999999999E-4</v>
      </c>
      <c r="E39" t="s">
        <v>33</v>
      </c>
    </row>
    <row r="41" spans="1:22" ht="16" thickBot="1" x14ac:dyDescent="0.25"/>
    <row r="42" spans="1:22" ht="17" thickTop="1" thickBot="1" x14ac:dyDescent="0.25">
      <c r="A42" s="90" t="s">
        <v>32</v>
      </c>
      <c r="B42" s="90"/>
      <c r="C42" s="90"/>
      <c r="D42" s="90"/>
      <c r="E42" s="90"/>
      <c r="F42" s="90"/>
      <c r="G42" s="90"/>
      <c r="H42" s="90"/>
      <c r="I42" s="90"/>
      <c r="J42" s="90"/>
      <c r="L42" s="90" t="s">
        <v>32</v>
      </c>
      <c r="M42" s="90"/>
      <c r="N42" s="90"/>
      <c r="O42" s="90"/>
      <c r="P42" s="90"/>
      <c r="Q42" s="90"/>
      <c r="R42" s="90"/>
      <c r="S42" s="90"/>
      <c r="T42" s="90"/>
      <c r="U42" s="90"/>
      <c r="V42" s="90"/>
    </row>
    <row r="43" spans="1:22" ht="16" thickTop="1" x14ac:dyDescent="0.2">
      <c r="A43" s="93" t="s">
        <v>46</v>
      </c>
      <c r="B43" s="94"/>
      <c r="C43" s="94"/>
      <c r="D43" s="94"/>
      <c r="E43" s="94"/>
      <c r="F43" s="94"/>
      <c r="G43" s="94"/>
      <c r="H43" s="94"/>
      <c r="I43" s="94"/>
      <c r="J43" s="94"/>
      <c r="L43" s="93" t="s">
        <v>142</v>
      </c>
      <c r="M43" s="94"/>
      <c r="N43" s="94"/>
      <c r="O43" s="94"/>
      <c r="P43" s="94"/>
      <c r="Q43" s="94"/>
      <c r="R43" s="94"/>
      <c r="S43" s="94"/>
      <c r="T43" s="94"/>
      <c r="U43" s="94"/>
      <c r="V43" s="94"/>
    </row>
    <row r="44" spans="1:22" x14ac:dyDescent="0.2">
      <c r="A44" s="9" t="s">
        <v>30</v>
      </c>
      <c r="B44" s="8" t="s">
        <v>29</v>
      </c>
      <c r="C44" s="8" t="s">
        <v>175</v>
      </c>
      <c r="D44" s="8" t="s">
        <v>44</v>
      </c>
      <c r="E44" s="8" t="s">
        <v>43</v>
      </c>
      <c r="F44" s="8" t="s">
        <v>42</v>
      </c>
      <c r="G44" s="8" t="s">
        <v>41</v>
      </c>
      <c r="H44" s="11" t="s">
        <v>28</v>
      </c>
      <c r="I44" s="9" t="s">
        <v>27</v>
      </c>
      <c r="J44" s="8" t="s">
        <v>27</v>
      </c>
      <c r="L44" s="9" t="s">
        <v>30</v>
      </c>
      <c r="M44" s="8" t="s">
        <v>29</v>
      </c>
      <c r="N44" s="8" t="s">
        <v>175</v>
      </c>
      <c r="O44" s="8" t="s">
        <v>44</v>
      </c>
      <c r="P44" s="8" t="s">
        <v>43</v>
      </c>
      <c r="Q44" s="8" t="s">
        <v>42</v>
      </c>
      <c r="R44" s="8" t="s">
        <v>41</v>
      </c>
      <c r="S44" s="11" t="s">
        <v>28</v>
      </c>
      <c r="T44" s="9" t="s">
        <v>27</v>
      </c>
      <c r="U44" s="9"/>
      <c r="V44" s="8" t="s">
        <v>27</v>
      </c>
    </row>
    <row r="45" spans="1:22" x14ac:dyDescent="0.2">
      <c r="A45" s="9"/>
      <c r="B45" s="8" t="s">
        <v>172</v>
      </c>
      <c r="C45" s="8" t="s">
        <v>40</v>
      </c>
      <c r="D45" s="8" t="s">
        <v>39</v>
      </c>
      <c r="E45" s="8" t="s">
        <v>39</v>
      </c>
      <c r="F45" s="8" t="s">
        <v>38</v>
      </c>
      <c r="G45" s="8" t="s">
        <v>38</v>
      </c>
      <c r="H45" s="10" t="s">
        <v>26</v>
      </c>
      <c r="I45" s="9" t="s">
        <v>25</v>
      </c>
      <c r="J45" s="8" t="s">
        <v>24</v>
      </c>
      <c r="L45" s="9"/>
      <c r="M45" s="8" t="s">
        <v>26</v>
      </c>
      <c r="N45" s="8" t="s">
        <v>40</v>
      </c>
      <c r="O45" s="8" t="s">
        <v>39</v>
      </c>
      <c r="P45" s="8" t="s">
        <v>39</v>
      </c>
      <c r="Q45" s="8" t="s">
        <v>38</v>
      </c>
      <c r="R45" s="8" t="s">
        <v>38</v>
      </c>
      <c r="S45" s="10" t="s">
        <v>26</v>
      </c>
      <c r="T45" s="9" t="s">
        <v>25</v>
      </c>
      <c r="U45" s="9"/>
      <c r="V45" s="8" t="s">
        <v>24</v>
      </c>
    </row>
    <row r="46" spans="1:22" x14ac:dyDescent="0.2">
      <c r="A46" s="13" t="s">
        <v>23</v>
      </c>
      <c r="B46" s="4">
        <f>MAX(M4_leaching!F3:G3)</f>
        <v>1.09E-2</v>
      </c>
      <c r="C46" s="2">
        <f>2*(B46/1000)*$B$39</f>
        <v>4.7087999999999997E-6</v>
      </c>
      <c r="D46" s="2">
        <f>C46*$B$35/$B$34</f>
        <v>1.2996288E-5</v>
      </c>
      <c r="E46" s="2">
        <f t="shared" ref="E46:E63" si="2">C46*$B$36/$B$34</f>
        <v>3.8988863999999997E-5</v>
      </c>
      <c r="F46" s="2">
        <f>D46/$B$19</f>
        <v>2.7075599999999995E-6</v>
      </c>
      <c r="G46" s="2">
        <f>E46/$B$20</f>
        <v>6.4981439999999992E-6</v>
      </c>
      <c r="H46" s="7">
        <v>5.7000000000000002E-2</v>
      </c>
      <c r="I46" s="2">
        <f t="shared" ref="I46:I63" si="3">F46/H46</f>
        <v>4.7501052631578937E-5</v>
      </c>
      <c r="J46" s="2">
        <f t="shared" ref="J46:J63" si="4">G46/H46</f>
        <v>1.1400252631578945E-4</v>
      </c>
      <c r="L46" s="13" t="s">
        <v>23</v>
      </c>
      <c r="M46" s="4">
        <f>MAX(M4_leaching!F3:G3)</f>
        <v>1.09E-2</v>
      </c>
      <c r="N46" s="2">
        <f>2*M46*$B$39/1000</f>
        <v>4.7087999999999989E-6</v>
      </c>
      <c r="O46" s="2">
        <f>N46*$B$35/$B$34</f>
        <v>1.2996287999999997E-5</v>
      </c>
      <c r="P46" s="2">
        <f>N46*$B$36/$B$34</f>
        <v>3.898886399999999E-5</v>
      </c>
      <c r="Q46" s="2">
        <f>O46/($B$16*$B$25)</f>
        <v>4.7006249999999985E-8</v>
      </c>
      <c r="R46" s="2">
        <f>P46/($B$17*$E$25)</f>
        <v>1.3537799999999995E-6</v>
      </c>
      <c r="S46" s="7">
        <v>5.7000000000000002E-2</v>
      </c>
      <c r="T46" s="2">
        <f t="shared" ref="T46:T63" si="5">Q46/S46</f>
        <v>8.2467105263157862E-7</v>
      </c>
      <c r="U46" s="2"/>
      <c r="V46" s="2">
        <f t="shared" ref="V46:V63" si="6">R46/S46</f>
        <v>2.3750526315789465E-5</v>
      </c>
    </row>
    <row r="47" spans="1:22" x14ac:dyDescent="0.2">
      <c r="A47" s="13" t="s">
        <v>22</v>
      </c>
      <c r="B47" s="4">
        <f>MAX(M4_leaching!F4:G4)</f>
        <v>104</v>
      </c>
      <c r="C47" s="2">
        <f t="shared" ref="C47:C63" si="7">2*(B47/1000)*$B$39</f>
        <v>4.4927999999999989E-2</v>
      </c>
      <c r="D47" s="2">
        <f>C47*$B$35/$B$34</f>
        <v>0.12400127999999999</v>
      </c>
      <c r="E47" s="2">
        <f t="shared" si="2"/>
        <v>0.37200383999999992</v>
      </c>
      <c r="F47" s="2">
        <f t="shared" ref="F47:F63" si="8">D47/$B$19</f>
        <v>2.5833599999999995E-2</v>
      </c>
      <c r="G47" s="2">
        <f t="shared" ref="G47:G63" si="9">E47/$B$20</f>
        <v>6.2000639999999989E-2</v>
      </c>
      <c r="H47" s="7">
        <v>114.7</v>
      </c>
      <c r="I47" s="2">
        <f t="shared" si="3"/>
        <v>2.2522755013077588E-4</v>
      </c>
      <c r="J47" s="2">
        <f t="shared" si="4"/>
        <v>5.405461203138621E-4</v>
      </c>
      <c r="L47" s="13" t="s">
        <v>22</v>
      </c>
      <c r="M47" s="4">
        <f>MAX(M4_leaching!F4:G4)</f>
        <v>104</v>
      </c>
      <c r="N47" s="2">
        <f t="shared" ref="N47:N63" si="10">2*M47*$B$39/1000</f>
        <v>4.4927999999999996E-2</v>
      </c>
      <c r="O47" s="2">
        <f t="shared" ref="O47:O63" si="11">N47*$B$35/$B$34</f>
        <v>0.12400128000000002</v>
      </c>
      <c r="P47" s="2">
        <f t="shared" ref="P47" si="12">N47*$B$36/$B$34</f>
        <v>0.37200383999999997</v>
      </c>
      <c r="Q47" s="2">
        <f t="shared" ref="Q47:Q63" si="13">O47/($B$16*$B$25)</f>
        <v>4.4850000000000006E-4</v>
      </c>
      <c r="R47" s="2">
        <f t="shared" ref="R47:R63" si="14">P47/($B$17*$E$25)</f>
        <v>1.2916799999999997E-2</v>
      </c>
      <c r="S47" s="7">
        <v>114.7</v>
      </c>
      <c r="T47" s="2">
        <f t="shared" si="5"/>
        <v>3.9102005231037494E-6</v>
      </c>
      <c r="U47" s="2"/>
      <c r="V47" s="2">
        <f t="shared" si="6"/>
        <v>1.1261377506538794E-4</v>
      </c>
    </row>
    <row r="48" spans="1:22" x14ac:dyDescent="0.2">
      <c r="A48" s="13" t="s">
        <v>20</v>
      </c>
      <c r="B48" s="4">
        <f>MAX(M4_leaching!F5:G5)</f>
        <v>142</v>
      </c>
      <c r="C48" s="2">
        <f t="shared" si="7"/>
        <v>6.1343999999999989E-2</v>
      </c>
      <c r="D48" s="2">
        <f t="shared" ref="D48:D63" si="15">C48*$B$35/$B$34</f>
        <v>0.16930944000000001</v>
      </c>
      <c r="E48" s="2">
        <f t="shared" si="2"/>
        <v>0.50792831999999999</v>
      </c>
      <c r="F48" s="2">
        <f t="shared" si="8"/>
        <v>3.5272799999999993E-2</v>
      </c>
      <c r="G48" s="2">
        <f t="shared" si="9"/>
        <v>8.4654720000000003E-2</v>
      </c>
      <c r="H48" s="6">
        <v>2900</v>
      </c>
      <c r="I48" s="2">
        <f t="shared" si="3"/>
        <v>1.2163034482758619E-5</v>
      </c>
      <c r="J48" s="2">
        <f t="shared" si="4"/>
        <v>2.9191282758620692E-5</v>
      </c>
      <c r="L48" s="13" t="s">
        <v>20</v>
      </c>
      <c r="M48" s="4">
        <f>MAX(M4_leaching!F5:G5)</f>
        <v>142</v>
      </c>
      <c r="N48" s="2">
        <f t="shared" si="10"/>
        <v>6.1343999999999996E-2</v>
      </c>
      <c r="O48" s="2">
        <f t="shared" si="11"/>
        <v>0.16930944000000001</v>
      </c>
      <c r="P48" s="2">
        <f>N48*$B$36/$B$34</f>
        <v>0.50792831999999999</v>
      </c>
      <c r="Q48" s="2">
        <f t="shared" si="13"/>
        <v>6.1237499999999996E-4</v>
      </c>
      <c r="R48" s="2">
        <f t="shared" si="14"/>
        <v>1.7636399999999997E-2</v>
      </c>
      <c r="S48" s="6">
        <v>2900</v>
      </c>
      <c r="T48" s="2">
        <f t="shared" si="5"/>
        <v>2.1116379310344825E-7</v>
      </c>
      <c r="U48" s="2"/>
      <c r="V48" s="2">
        <f t="shared" si="6"/>
        <v>6.0815172413793093E-6</v>
      </c>
    </row>
    <row r="49" spans="1:22" s="87" customFormat="1" x14ac:dyDescent="0.2">
      <c r="A49" s="83" t="s">
        <v>18</v>
      </c>
      <c r="B49" s="84">
        <f>MAX(M4_leaching!F6:G6)</f>
        <v>22.2</v>
      </c>
      <c r="C49" s="85">
        <f t="shared" si="7"/>
        <v>9.5903999999999989E-3</v>
      </c>
      <c r="D49" s="85">
        <f t="shared" si="15"/>
        <v>2.6469504000000001E-2</v>
      </c>
      <c r="E49" s="85">
        <f t="shared" si="2"/>
        <v>7.9408512000000001E-2</v>
      </c>
      <c r="F49" s="85">
        <f t="shared" si="8"/>
        <v>5.5144799999999996E-3</v>
      </c>
      <c r="G49" s="85">
        <f t="shared" si="9"/>
        <v>1.3234752000000001E-2</v>
      </c>
      <c r="H49" s="86">
        <v>1.06</v>
      </c>
      <c r="I49" s="85">
        <f t="shared" si="3"/>
        <v>5.2023396226415089E-3</v>
      </c>
      <c r="J49" s="85">
        <f t="shared" si="4"/>
        <v>1.2485615094339623E-2</v>
      </c>
      <c r="L49" s="83" t="s">
        <v>18</v>
      </c>
      <c r="M49" s="84">
        <f>MAX(M4_leaching!F6:G6)</f>
        <v>22.2</v>
      </c>
      <c r="N49" s="85">
        <f t="shared" si="10"/>
        <v>9.5903999999999989E-3</v>
      </c>
      <c r="O49" s="85">
        <f t="shared" si="11"/>
        <v>2.6469504000000001E-2</v>
      </c>
      <c r="P49" s="85">
        <f t="shared" ref="P49:P63" si="16">N49*$B$36/$B$34</f>
        <v>7.9408512000000001E-2</v>
      </c>
      <c r="Q49" s="85">
        <f t="shared" si="13"/>
        <v>9.5737500000000003E-5</v>
      </c>
      <c r="R49" s="85">
        <f t="shared" si="14"/>
        <v>2.7572399999999998E-3</v>
      </c>
      <c r="S49" s="86">
        <v>1.06</v>
      </c>
      <c r="T49" s="85">
        <f t="shared" si="5"/>
        <v>9.0318396226415093E-5</v>
      </c>
      <c r="U49" s="85"/>
      <c r="V49" s="85">
        <f t="shared" si="6"/>
        <v>2.6011698113207545E-3</v>
      </c>
    </row>
    <row r="50" spans="1:22" s="87" customFormat="1" x14ac:dyDescent="0.2">
      <c r="A50" s="88" t="s">
        <v>17</v>
      </c>
      <c r="B50" s="84">
        <f>MAX(M4_leaching!F7:G7)</f>
        <v>319</v>
      </c>
      <c r="C50" s="85">
        <f t="shared" si="7"/>
        <v>0.13780799999999999</v>
      </c>
      <c r="D50" s="85">
        <f t="shared" si="15"/>
        <v>0.38035008000000003</v>
      </c>
      <c r="E50" s="85">
        <f t="shared" si="2"/>
        <v>1.1410502399999998</v>
      </c>
      <c r="F50" s="85">
        <f t="shared" si="8"/>
        <v>7.9239599999999993E-2</v>
      </c>
      <c r="G50" s="85">
        <f t="shared" si="9"/>
        <v>0.19017503999999996</v>
      </c>
      <c r="H50" s="86">
        <v>6.3</v>
      </c>
      <c r="I50" s="85">
        <f t="shared" si="3"/>
        <v>1.2577714285714286E-2</v>
      </c>
      <c r="J50" s="85">
        <f t="shared" si="4"/>
        <v>3.018651428571428E-2</v>
      </c>
      <c r="L50" s="88" t="s">
        <v>17</v>
      </c>
      <c r="M50" s="84">
        <f>MAX(M4_leaching!F7:G7)</f>
        <v>319</v>
      </c>
      <c r="N50" s="85">
        <f t="shared" si="10"/>
        <v>0.13780799999999999</v>
      </c>
      <c r="O50" s="85">
        <f t="shared" si="11"/>
        <v>0.38035008000000003</v>
      </c>
      <c r="P50" s="85">
        <f t="shared" si="16"/>
        <v>1.1410502399999998</v>
      </c>
      <c r="Q50" s="85">
        <f t="shared" si="13"/>
        <v>1.3756875E-3</v>
      </c>
      <c r="R50" s="85">
        <f t="shared" si="14"/>
        <v>3.9619799999999983E-2</v>
      </c>
      <c r="S50" s="86">
        <v>6.3</v>
      </c>
      <c r="T50" s="85">
        <f t="shared" si="5"/>
        <v>2.1836309523809522E-4</v>
      </c>
      <c r="U50" s="85"/>
      <c r="V50" s="85">
        <f t="shared" si="6"/>
        <v>6.2888571428571403E-3</v>
      </c>
    </row>
    <row r="51" spans="1:22" x14ac:dyDescent="0.2">
      <c r="A51" s="5" t="s">
        <v>16</v>
      </c>
      <c r="B51" s="4">
        <f>MAX(M4_leaching!F8:G8)</f>
        <v>17.399999999999999</v>
      </c>
      <c r="C51" s="2">
        <f t="shared" si="7"/>
        <v>7.5167999999999988E-3</v>
      </c>
      <c r="D51" s="2">
        <f t="shared" si="15"/>
        <v>2.0746367999999998E-2</v>
      </c>
      <c r="E51" s="2">
        <f t="shared" si="2"/>
        <v>6.223910399999999E-2</v>
      </c>
      <c r="F51" s="2">
        <f t="shared" si="8"/>
        <v>4.3221599999999985E-3</v>
      </c>
      <c r="G51" s="2">
        <f t="shared" si="9"/>
        <v>1.0373183999999999E-2</v>
      </c>
      <c r="H51" s="3">
        <v>1650</v>
      </c>
      <c r="I51" s="2">
        <f t="shared" si="3"/>
        <v>2.6194909090909083E-6</v>
      </c>
      <c r="J51" s="2">
        <f t="shared" si="4"/>
        <v>6.2867781818181814E-6</v>
      </c>
      <c r="L51" s="5" t="s">
        <v>16</v>
      </c>
      <c r="M51" s="4">
        <f>MAX(M4_leaching!F8:G8)</f>
        <v>17.399999999999999</v>
      </c>
      <c r="N51" s="2">
        <f t="shared" si="10"/>
        <v>7.516799999999998E-3</v>
      </c>
      <c r="O51" s="2">
        <f t="shared" si="11"/>
        <v>2.0746367999999994E-2</v>
      </c>
      <c r="P51" s="2">
        <f t="shared" si="16"/>
        <v>6.223910399999999E-2</v>
      </c>
      <c r="Q51" s="2">
        <f t="shared" si="13"/>
        <v>7.5037499999999974E-5</v>
      </c>
      <c r="R51" s="2">
        <f t="shared" si="14"/>
        <v>2.1610799999999993E-3</v>
      </c>
      <c r="S51" s="3">
        <v>1650</v>
      </c>
      <c r="T51" s="2">
        <f t="shared" si="5"/>
        <v>4.5477272727272711E-8</v>
      </c>
      <c r="U51" s="2"/>
      <c r="V51" s="2">
        <f t="shared" si="6"/>
        <v>1.3097454545454541E-6</v>
      </c>
    </row>
    <row r="52" spans="1:22" s="87" customFormat="1" x14ac:dyDescent="0.2">
      <c r="A52" s="88" t="s">
        <v>14</v>
      </c>
      <c r="B52" s="84">
        <f>MAX(M4_leaching!F9:G9)</f>
        <v>814</v>
      </c>
      <c r="C52" s="85">
        <f t="shared" si="7"/>
        <v>0.35164799999999991</v>
      </c>
      <c r="D52" s="85">
        <f t="shared" si="15"/>
        <v>0.97054847999999994</v>
      </c>
      <c r="E52" s="85">
        <f t="shared" si="2"/>
        <v>2.9116454399999991</v>
      </c>
      <c r="F52" s="85">
        <f t="shared" si="8"/>
        <v>0.20219759999999995</v>
      </c>
      <c r="G52" s="85">
        <f t="shared" si="9"/>
        <v>0.48527423999999986</v>
      </c>
      <c r="H52" s="86">
        <v>34</v>
      </c>
      <c r="I52" s="85">
        <f t="shared" si="3"/>
        <v>5.9469882352941161E-3</v>
      </c>
      <c r="J52" s="85">
        <f t="shared" si="4"/>
        <v>1.4272771764705879E-2</v>
      </c>
      <c r="L52" s="88" t="s">
        <v>14</v>
      </c>
      <c r="M52" s="84">
        <f>MAX(M4_leaching!F9:G9)</f>
        <v>814</v>
      </c>
      <c r="N52" s="85">
        <f t="shared" si="10"/>
        <v>0.35164799999999996</v>
      </c>
      <c r="O52" s="85">
        <f t="shared" si="11"/>
        <v>0.97054847999999994</v>
      </c>
      <c r="P52" s="85">
        <f t="shared" si="16"/>
        <v>2.9116454399999996</v>
      </c>
      <c r="Q52" s="85">
        <f t="shared" si="13"/>
        <v>3.5103749999999996E-3</v>
      </c>
      <c r="R52" s="85">
        <f t="shared" si="14"/>
        <v>0.10109879999999997</v>
      </c>
      <c r="S52" s="86">
        <v>34</v>
      </c>
      <c r="T52" s="85">
        <f t="shared" si="5"/>
        <v>1.0324632352941175E-4</v>
      </c>
      <c r="U52" s="85"/>
      <c r="V52" s="85">
        <f t="shared" si="6"/>
        <v>2.973494117647058E-3</v>
      </c>
    </row>
    <row r="53" spans="1:22" x14ac:dyDescent="0.2">
      <c r="A53" s="79" t="s">
        <v>13</v>
      </c>
      <c r="B53" s="4">
        <f>MAX(M4_leaching!F10:G10)</f>
        <v>0</v>
      </c>
      <c r="C53" s="2">
        <f t="shared" si="7"/>
        <v>0</v>
      </c>
      <c r="D53" s="2">
        <f t="shared" si="15"/>
        <v>0</v>
      </c>
      <c r="E53" s="2">
        <f t="shared" si="2"/>
        <v>0</v>
      </c>
      <c r="F53" s="2">
        <f t="shared" si="8"/>
        <v>0</v>
      </c>
      <c r="G53" s="2">
        <f t="shared" si="9"/>
        <v>0</v>
      </c>
      <c r="H53" s="3">
        <v>11900</v>
      </c>
      <c r="I53" s="2">
        <f t="shared" si="3"/>
        <v>0</v>
      </c>
      <c r="J53" s="2">
        <f t="shared" si="4"/>
        <v>0</v>
      </c>
      <c r="L53" s="5" t="s">
        <v>13</v>
      </c>
      <c r="M53" s="4">
        <f>MAX(M4_leaching!F10:G10)</f>
        <v>0</v>
      </c>
      <c r="N53" s="2">
        <f t="shared" si="10"/>
        <v>0</v>
      </c>
      <c r="O53" s="2">
        <f t="shared" si="11"/>
        <v>0</v>
      </c>
      <c r="P53" s="2">
        <f t="shared" si="16"/>
        <v>0</v>
      </c>
      <c r="Q53" s="2">
        <f t="shared" si="13"/>
        <v>0</v>
      </c>
      <c r="R53" s="2">
        <f t="shared" si="14"/>
        <v>0</v>
      </c>
      <c r="S53" s="3">
        <v>11900</v>
      </c>
      <c r="T53" s="2">
        <f t="shared" si="5"/>
        <v>0</v>
      </c>
      <c r="U53" s="2"/>
      <c r="V53" s="2">
        <f t="shared" si="6"/>
        <v>0</v>
      </c>
    </row>
    <row r="54" spans="1:22" x14ac:dyDescent="0.2">
      <c r="A54" s="79" t="s">
        <v>11</v>
      </c>
      <c r="B54" s="4">
        <f>MAX(M4_leaching!F11:G11)</f>
        <v>0</v>
      </c>
      <c r="C54" s="2">
        <f t="shared" si="7"/>
        <v>0</v>
      </c>
      <c r="D54" s="2">
        <f t="shared" si="15"/>
        <v>0</v>
      </c>
      <c r="E54" s="2">
        <f t="shared" si="2"/>
        <v>0</v>
      </c>
      <c r="F54" s="2">
        <f t="shared" si="8"/>
        <v>0</v>
      </c>
      <c r="G54" s="2">
        <f t="shared" si="9"/>
        <v>0</v>
      </c>
      <c r="H54" s="3">
        <v>37</v>
      </c>
      <c r="I54" s="2">
        <f t="shared" si="3"/>
        <v>0</v>
      </c>
      <c r="J54" s="2">
        <f t="shared" si="4"/>
        <v>0</v>
      </c>
      <c r="L54" s="5" t="s">
        <v>11</v>
      </c>
      <c r="M54" s="4">
        <f>MAX(M4_leaching!F11:G11)</f>
        <v>0</v>
      </c>
      <c r="N54" s="2">
        <f t="shared" si="10"/>
        <v>0</v>
      </c>
      <c r="O54" s="2">
        <f t="shared" si="11"/>
        <v>0</v>
      </c>
      <c r="P54" s="2">
        <f t="shared" si="16"/>
        <v>0</v>
      </c>
      <c r="Q54" s="2">
        <f t="shared" si="13"/>
        <v>0</v>
      </c>
      <c r="R54" s="2">
        <f t="shared" si="14"/>
        <v>0</v>
      </c>
      <c r="S54" s="3">
        <v>37</v>
      </c>
      <c r="T54" s="2">
        <f t="shared" si="5"/>
        <v>0</v>
      </c>
      <c r="U54" s="2"/>
      <c r="V54" s="2">
        <f t="shared" si="6"/>
        <v>0</v>
      </c>
    </row>
    <row r="55" spans="1:22" x14ac:dyDescent="0.2">
      <c r="A55" s="5" t="s">
        <v>10</v>
      </c>
      <c r="B55" s="4">
        <f>MAX(M4_leaching!F12:G12)</f>
        <v>2.9</v>
      </c>
      <c r="C55" s="2">
        <f t="shared" si="7"/>
        <v>1.2527999999999997E-3</v>
      </c>
      <c r="D55" s="2">
        <f t="shared" si="15"/>
        <v>3.4577279999999998E-3</v>
      </c>
      <c r="E55" s="2">
        <f t="shared" si="2"/>
        <v>1.0373183999999997E-2</v>
      </c>
      <c r="F55" s="2">
        <f t="shared" si="8"/>
        <v>7.2035999999999986E-4</v>
      </c>
      <c r="G55" s="2">
        <f t="shared" si="9"/>
        <v>1.7288639999999994E-3</v>
      </c>
      <c r="H55" s="3">
        <v>4.0999999999999996</v>
      </c>
      <c r="I55" s="2">
        <f t="shared" si="3"/>
        <v>1.7569756097560974E-4</v>
      </c>
      <c r="J55" s="2">
        <f t="shared" si="4"/>
        <v>4.2167414634146334E-4</v>
      </c>
      <c r="L55" s="5" t="s">
        <v>10</v>
      </c>
      <c r="M55" s="4">
        <f>MAX(M4_leaching!F12:G12)</f>
        <v>2.9</v>
      </c>
      <c r="N55" s="2">
        <f t="shared" si="10"/>
        <v>1.2527999999999997E-3</v>
      </c>
      <c r="O55" s="2">
        <f t="shared" si="11"/>
        <v>3.4577279999999998E-3</v>
      </c>
      <c r="P55" s="2">
        <f t="shared" si="16"/>
        <v>1.0373183999999997E-2</v>
      </c>
      <c r="Q55" s="2">
        <f t="shared" si="13"/>
        <v>1.2506249999999999E-5</v>
      </c>
      <c r="R55" s="2">
        <f t="shared" si="14"/>
        <v>3.6017999999999982E-4</v>
      </c>
      <c r="S55" s="3">
        <v>4.0999999999999996</v>
      </c>
      <c r="T55" s="2">
        <f t="shared" si="5"/>
        <v>3.0503048780487806E-6</v>
      </c>
      <c r="U55" s="2"/>
      <c r="V55" s="2">
        <f t="shared" si="6"/>
        <v>8.7848780487804841E-5</v>
      </c>
    </row>
    <row r="56" spans="1:22" s="87" customFormat="1" x14ac:dyDescent="0.2">
      <c r="A56" s="88" t="s">
        <v>9</v>
      </c>
      <c r="B56" s="84">
        <f>MAX(M4_leaching!F13:G13)</f>
        <v>1740</v>
      </c>
      <c r="C56" s="85">
        <f t="shared" si="7"/>
        <v>0.7516799999999999</v>
      </c>
      <c r="D56" s="85">
        <f t="shared" si="15"/>
        <v>2.0746367999999999</v>
      </c>
      <c r="E56" s="85">
        <f t="shared" si="2"/>
        <v>6.2239103999999994</v>
      </c>
      <c r="F56" s="85">
        <f t="shared" si="8"/>
        <v>0.43221599999999993</v>
      </c>
      <c r="G56" s="85">
        <f t="shared" si="9"/>
        <v>1.0373184</v>
      </c>
      <c r="H56" s="86">
        <v>14.4</v>
      </c>
      <c r="I56" s="85">
        <f t="shared" si="3"/>
        <v>3.0014999999999993E-2</v>
      </c>
      <c r="J56" s="85">
        <f t="shared" si="4"/>
        <v>7.2036000000000003E-2</v>
      </c>
      <c r="L56" s="88" t="s">
        <v>9</v>
      </c>
      <c r="M56" s="84">
        <f>MAX(M4_leaching!F13:G13)</f>
        <v>1740</v>
      </c>
      <c r="N56" s="85">
        <f t="shared" si="10"/>
        <v>0.7516799999999999</v>
      </c>
      <c r="O56" s="85">
        <f t="shared" si="11"/>
        <v>2.0746367999999999</v>
      </c>
      <c r="P56" s="85">
        <f t="shared" si="16"/>
        <v>6.2239103999999994</v>
      </c>
      <c r="Q56" s="85">
        <f t="shared" si="13"/>
        <v>7.5037499999999991E-3</v>
      </c>
      <c r="R56" s="85">
        <f t="shared" si="14"/>
        <v>0.21610799999999994</v>
      </c>
      <c r="S56" s="86">
        <v>14.4</v>
      </c>
      <c r="T56" s="85">
        <f t="shared" si="5"/>
        <v>5.2109374999999996E-4</v>
      </c>
      <c r="U56" s="85"/>
      <c r="V56" s="85">
        <f t="shared" si="6"/>
        <v>1.5007499999999995E-2</v>
      </c>
    </row>
    <row r="57" spans="1:22" x14ac:dyDescent="0.2">
      <c r="A57" s="5" t="s">
        <v>6</v>
      </c>
      <c r="B57" s="4">
        <f>MAX(M4_leaching!F14:G14)</f>
        <v>1.87</v>
      </c>
      <c r="C57" s="2">
        <f t="shared" si="7"/>
        <v>8.0783999999999999E-4</v>
      </c>
      <c r="D57" s="2">
        <f t="shared" si="15"/>
        <v>2.2296384000000001E-3</v>
      </c>
      <c r="E57" s="2">
        <f t="shared" si="2"/>
        <v>6.6889152000000002E-3</v>
      </c>
      <c r="F57" s="2">
        <f t="shared" si="8"/>
        <v>4.6450799999999992E-4</v>
      </c>
      <c r="G57" s="2">
        <f t="shared" si="9"/>
        <v>1.1148192E-3</v>
      </c>
      <c r="H57" s="3">
        <v>0.19</v>
      </c>
      <c r="I57" s="2">
        <f t="shared" si="3"/>
        <v>2.4447789473684206E-3</v>
      </c>
      <c r="J57" s="2">
        <f t="shared" si="4"/>
        <v>5.8674694736842109E-3</v>
      </c>
      <c r="L57" s="5" t="s">
        <v>6</v>
      </c>
      <c r="M57" s="4">
        <f>MAX(M4_leaching!F14:G14)</f>
        <v>1.87</v>
      </c>
      <c r="N57" s="2">
        <f t="shared" si="10"/>
        <v>8.0783999999999988E-4</v>
      </c>
      <c r="O57" s="2">
        <f t="shared" si="11"/>
        <v>2.2296384000000001E-3</v>
      </c>
      <c r="P57" s="2">
        <f t="shared" si="16"/>
        <v>6.6889152000000002E-3</v>
      </c>
      <c r="Q57" s="2">
        <f t="shared" si="13"/>
        <v>8.0643750000000002E-6</v>
      </c>
      <c r="R57" s="2">
        <f t="shared" si="14"/>
        <v>2.3225399999999996E-4</v>
      </c>
      <c r="S57" s="3">
        <v>0.19</v>
      </c>
      <c r="T57" s="2">
        <f t="shared" si="5"/>
        <v>4.244407894736842E-5</v>
      </c>
      <c r="U57" s="2"/>
      <c r="V57" s="2">
        <f t="shared" si="6"/>
        <v>1.2223894736842103E-3</v>
      </c>
    </row>
    <row r="58" spans="1:22" x14ac:dyDescent="0.2">
      <c r="A58" s="5" t="s">
        <v>5</v>
      </c>
      <c r="B58" s="4">
        <f>MAX(M4_leaching!F15:G15)</f>
        <v>13.1</v>
      </c>
      <c r="C58" s="2">
        <f t="shared" si="7"/>
        <v>5.6591999999999988E-3</v>
      </c>
      <c r="D58" s="2">
        <f t="shared" si="15"/>
        <v>1.5619391999999999E-2</v>
      </c>
      <c r="E58" s="2">
        <f t="shared" si="2"/>
        <v>4.6858175999999988E-2</v>
      </c>
      <c r="F58" s="2">
        <f t="shared" si="8"/>
        <v>3.2540399999999993E-3</v>
      </c>
      <c r="G58" s="2">
        <f t="shared" si="9"/>
        <v>7.8096959999999979E-3</v>
      </c>
      <c r="H58" s="3">
        <v>6.5</v>
      </c>
      <c r="I58" s="2">
        <f t="shared" si="3"/>
        <v>5.006215384615383E-4</v>
      </c>
      <c r="J58" s="2">
        <f t="shared" si="4"/>
        <v>1.2014916923076919E-3</v>
      </c>
      <c r="L58" s="5" t="s">
        <v>5</v>
      </c>
      <c r="M58" s="4">
        <f>MAX(M4_leaching!F15:G15)</f>
        <v>13.1</v>
      </c>
      <c r="N58" s="2">
        <f t="shared" si="10"/>
        <v>5.6591999999999996E-3</v>
      </c>
      <c r="O58" s="2">
        <f t="shared" si="11"/>
        <v>1.5619392000000001E-2</v>
      </c>
      <c r="P58" s="2">
        <f t="shared" si="16"/>
        <v>4.6858175999999994E-2</v>
      </c>
      <c r="Q58" s="2">
        <f t="shared" si="13"/>
        <v>5.6493750000000001E-5</v>
      </c>
      <c r="R58" s="2">
        <f t="shared" si="14"/>
        <v>1.6270199999999996E-3</v>
      </c>
      <c r="S58" s="3">
        <v>6.5</v>
      </c>
      <c r="T58" s="2">
        <f t="shared" si="5"/>
        <v>8.6913461538461539E-6</v>
      </c>
      <c r="U58" s="2"/>
      <c r="V58" s="2">
        <f t="shared" si="6"/>
        <v>2.5031076923076915E-4</v>
      </c>
    </row>
    <row r="59" spans="1:22" x14ac:dyDescent="0.2">
      <c r="A59" s="5" t="s">
        <v>4</v>
      </c>
      <c r="B59" s="4">
        <f>MAX(M4_leaching!F16:G16)</f>
        <v>89.3</v>
      </c>
      <c r="C59" s="2">
        <f t="shared" si="7"/>
        <v>3.857759999999999E-2</v>
      </c>
      <c r="D59" s="2">
        <f t="shared" si="15"/>
        <v>0.10647417599999999</v>
      </c>
      <c r="E59" s="2">
        <f t="shared" si="2"/>
        <v>0.31942252799999993</v>
      </c>
      <c r="F59" s="2">
        <f t="shared" si="8"/>
        <v>2.2182119999999996E-2</v>
      </c>
      <c r="G59" s="2">
        <f t="shared" si="9"/>
        <v>5.3237087999999988E-2</v>
      </c>
      <c r="H59" s="3">
        <v>20</v>
      </c>
      <c r="I59" s="2">
        <f t="shared" si="3"/>
        <v>1.1091059999999999E-3</v>
      </c>
      <c r="J59" s="2">
        <f t="shared" si="4"/>
        <v>2.6618543999999992E-3</v>
      </c>
      <c r="L59" s="5" t="s">
        <v>4</v>
      </c>
      <c r="M59" s="4">
        <f>MAX(M4_leaching!F16:G16)</f>
        <v>89.3</v>
      </c>
      <c r="N59" s="2">
        <f t="shared" si="10"/>
        <v>3.8577599999999997E-2</v>
      </c>
      <c r="O59" s="2">
        <f t="shared" si="11"/>
        <v>0.106474176</v>
      </c>
      <c r="P59" s="2">
        <f t="shared" si="16"/>
        <v>0.31942252799999998</v>
      </c>
      <c r="Q59" s="2">
        <f t="shared" si="13"/>
        <v>3.8510625E-4</v>
      </c>
      <c r="R59" s="2">
        <f t="shared" si="14"/>
        <v>1.1091059999999998E-2</v>
      </c>
      <c r="S59" s="3">
        <v>20</v>
      </c>
      <c r="T59" s="2">
        <f t="shared" si="5"/>
        <v>1.9255312499999999E-5</v>
      </c>
      <c r="U59" s="2"/>
      <c r="V59" s="2">
        <f t="shared" si="6"/>
        <v>5.5455299999999995E-4</v>
      </c>
    </row>
    <row r="60" spans="1:22" x14ac:dyDescent="0.2">
      <c r="A60" s="5" t="s">
        <v>3</v>
      </c>
      <c r="B60" s="4">
        <f>MAX(M4_leaching!F17:G17)</f>
        <v>18</v>
      </c>
      <c r="C60" s="2">
        <f t="shared" si="7"/>
        <v>7.7759999999999982E-3</v>
      </c>
      <c r="D60" s="2">
        <f t="shared" si="15"/>
        <v>2.1461759999999996E-2</v>
      </c>
      <c r="E60" s="2">
        <f t="shared" si="2"/>
        <v>6.4385279999999989E-2</v>
      </c>
      <c r="F60" s="2">
        <f t="shared" si="8"/>
        <v>4.471199999999999E-3</v>
      </c>
      <c r="G60" s="2">
        <f t="shared" si="9"/>
        <v>1.0730879999999998E-2</v>
      </c>
      <c r="H60" s="3">
        <v>2.4</v>
      </c>
      <c r="I60" s="2">
        <f t="shared" si="3"/>
        <v>1.8629999999999996E-3</v>
      </c>
      <c r="J60" s="2">
        <f t="shared" si="4"/>
        <v>4.4711999999999998E-3</v>
      </c>
      <c r="L60" s="5" t="s">
        <v>3</v>
      </c>
      <c r="M60" s="4">
        <f>MAX(M4_leaching!F17:G17)</f>
        <v>18</v>
      </c>
      <c r="N60" s="2">
        <f t="shared" si="10"/>
        <v>7.7759999999999991E-3</v>
      </c>
      <c r="O60" s="2">
        <f t="shared" si="11"/>
        <v>2.146176E-2</v>
      </c>
      <c r="P60" s="2">
        <f t="shared" si="16"/>
        <v>6.4385279999999989E-2</v>
      </c>
      <c r="Q60" s="2">
        <f t="shared" si="13"/>
        <v>7.7624999999999989E-5</v>
      </c>
      <c r="R60" s="2">
        <f t="shared" si="14"/>
        <v>2.2355999999999995E-3</v>
      </c>
      <c r="S60" s="3">
        <v>2.4</v>
      </c>
      <c r="T60" s="2">
        <f t="shared" si="5"/>
        <v>3.2343749999999997E-5</v>
      </c>
      <c r="U60" s="2"/>
      <c r="V60" s="2">
        <f t="shared" si="6"/>
        <v>9.3149999999999982E-4</v>
      </c>
    </row>
    <row r="61" spans="1:22" x14ac:dyDescent="0.2">
      <c r="A61" s="5" t="s">
        <v>2</v>
      </c>
      <c r="B61" s="4">
        <f>MAX(M4_leaching!F18:G18)</f>
        <v>4.47</v>
      </c>
      <c r="C61" s="2">
        <f t="shared" si="7"/>
        <v>1.9310399999999998E-3</v>
      </c>
      <c r="D61" s="2">
        <f t="shared" si="15"/>
        <v>5.3296704E-3</v>
      </c>
      <c r="E61" s="2">
        <f t="shared" si="2"/>
        <v>1.59890112E-2</v>
      </c>
      <c r="F61" s="2">
        <f t="shared" si="8"/>
        <v>1.1103479999999999E-3</v>
      </c>
      <c r="G61" s="2">
        <f t="shared" si="9"/>
        <v>2.6648352E-3</v>
      </c>
      <c r="H61" s="3">
        <v>5.6</v>
      </c>
      <c r="I61" s="2">
        <f t="shared" si="3"/>
        <v>1.9827642857142856E-4</v>
      </c>
      <c r="J61" s="2">
        <f t="shared" si="4"/>
        <v>4.758634285714286E-4</v>
      </c>
      <c r="L61" s="5" t="s">
        <v>2</v>
      </c>
      <c r="M61" s="4">
        <f>MAX(M4_leaching!F18:G18)</f>
        <v>4.47</v>
      </c>
      <c r="N61" s="2">
        <f t="shared" si="10"/>
        <v>1.9310399999999998E-3</v>
      </c>
      <c r="O61" s="2">
        <f t="shared" si="11"/>
        <v>5.3296704E-3</v>
      </c>
      <c r="P61" s="2">
        <f t="shared" si="16"/>
        <v>1.59890112E-2</v>
      </c>
      <c r="Q61" s="2">
        <f t="shared" si="13"/>
        <v>1.9276875E-5</v>
      </c>
      <c r="R61" s="2">
        <f t="shared" si="14"/>
        <v>5.5517399999999997E-4</v>
      </c>
      <c r="S61" s="3">
        <v>5.6</v>
      </c>
      <c r="T61" s="2">
        <f t="shared" si="5"/>
        <v>3.4422991071428575E-6</v>
      </c>
      <c r="U61" s="2"/>
      <c r="V61" s="2">
        <f t="shared" si="6"/>
        <v>9.913821428571428E-5</v>
      </c>
    </row>
    <row r="62" spans="1:22" x14ac:dyDescent="0.2">
      <c r="A62" s="79" t="s">
        <v>1</v>
      </c>
      <c r="B62" s="4">
        <f>MAX(M4_leaching!F19:G19)</f>
        <v>0</v>
      </c>
      <c r="C62" s="2">
        <f t="shared" si="7"/>
        <v>0</v>
      </c>
      <c r="D62" s="2">
        <f t="shared" si="15"/>
        <v>0</v>
      </c>
      <c r="E62" s="2">
        <f t="shared" si="2"/>
        <v>0</v>
      </c>
      <c r="F62" s="2">
        <f t="shared" si="8"/>
        <v>0</v>
      </c>
      <c r="G62" s="2">
        <f t="shared" si="9"/>
        <v>0</v>
      </c>
      <c r="H62" s="3">
        <v>28</v>
      </c>
      <c r="I62" s="2">
        <f t="shared" si="3"/>
        <v>0</v>
      </c>
      <c r="J62" s="2">
        <f t="shared" si="4"/>
        <v>0</v>
      </c>
      <c r="L62" s="5" t="s">
        <v>1</v>
      </c>
      <c r="M62" s="4">
        <f>MAX(M4_leaching!F19:G19)</f>
        <v>0</v>
      </c>
      <c r="N62" s="2">
        <f t="shared" si="10"/>
        <v>0</v>
      </c>
      <c r="O62" s="2">
        <f t="shared" si="11"/>
        <v>0</v>
      </c>
      <c r="P62" s="2">
        <f t="shared" si="16"/>
        <v>0</v>
      </c>
      <c r="Q62" s="2">
        <f t="shared" si="13"/>
        <v>0</v>
      </c>
      <c r="R62" s="2">
        <f t="shared" si="14"/>
        <v>0</v>
      </c>
      <c r="S62" s="3">
        <v>28</v>
      </c>
      <c r="T62" s="2">
        <f t="shared" si="5"/>
        <v>0</v>
      </c>
      <c r="U62" s="2"/>
      <c r="V62" s="2">
        <f t="shared" si="6"/>
        <v>0</v>
      </c>
    </row>
    <row r="63" spans="1:22" s="87" customFormat="1" ht="16" thickBot="1" x14ac:dyDescent="0.25">
      <c r="A63" s="88" t="s">
        <v>0</v>
      </c>
      <c r="B63" s="84">
        <f>MAX(M4_leaching!F20:G20)</f>
        <v>24636.3</v>
      </c>
      <c r="C63" s="85">
        <f t="shared" si="7"/>
        <v>10.642881599999997</v>
      </c>
      <c r="D63" s="85">
        <f t="shared" si="15"/>
        <v>29.374353215999996</v>
      </c>
      <c r="E63" s="85">
        <f t="shared" si="2"/>
        <v>88.12305964799998</v>
      </c>
      <c r="F63" s="85">
        <f t="shared" si="8"/>
        <v>6.1196569199999979</v>
      </c>
      <c r="G63" s="85">
        <f t="shared" si="9"/>
        <v>14.687176607999996</v>
      </c>
      <c r="H63" s="86">
        <v>170</v>
      </c>
      <c r="I63" s="85">
        <f t="shared" si="3"/>
        <v>3.5997981882352932E-2</v>
      </c>
      <c r="J63" s="85">
        <f t="shared" si="4"/>
        <v>8.6395156517647037E-2</v>
      </c>
      <c r="L63" s="88" t="s">
        <v>0</v>
      </c>
      <c r="M63" s="84">
        <f>MAX(M4_leaching!F20:G20)</f>
        <v>24636.3</v>
      </c>
      <c r="N63" s="85">
        <f t="shared" si="10"/>
        <v>10.642881599999999</v>
      </c>
      <c r="O63" s="85">
        <f t="shared" si="11"/>
        <v>29.374353216000003</v>
      </c>
      <c r="P63" s="85">
        <f t="shared" si="16"/>
        <v>88.123059647999995</v>
      </c>
      <c r="Q63" s="85">
        <f t="shared" si="13"/>
        <v>0.10624404375</v>
      </c>
      <c r="R63" s="85">
        <f t="shared" si="14"/>
        <v>3.0598284599999994</v>
      </c>
      <c r="S63" s="86">
        <v>170</v>
      </c>
      <c r="T63" s="85">
        <f t="shared" si="5"/>
        <v>6.2496496323529414E-4</v>
      </c>
      <c r="U63" s="85"/>
      <c r="V63" s="85">
        <f t="shared" si="6"/>
        <v>1.7998990941176466E-2</v>
      </c>
    </row>
    <row r="64" spans="1:22" ht="17" thickTop="1" thickBot="1" x14ac:dyDescent="0.25">
      <c r="A64" s="90" t="s">
        <v>31</v>
      </c>
      <c r="B64" s="90"/>
      <c r="C64" s="90"/>
      <c r="D64" s="90"/>
      <c r="E64" s="90"/>
      <c r="F64" s="90"/>
      <c r="G64" s="90"/>
      <c r="H64" s="90"/>
      <c r="I64" s="90"/>
      <c r="J64" s="90"/>
      <c r="L64" s="90" t="s">
        <v>31</v>
      </c>
      <c r="M64" s="90"/>
      <c r="N64" s="90"/>
      <c r="O64" s="90"/>
      <c r="P64" s="90"/>
      <c r="Q64" s="90"/>
      <c r="R64" s="90"/>
      <c r="S64" s="90"/>
      <c r="T64" s="90"/>
      <c r="U64" s="90"/>
      <c r="V64" s="90"/>
    </row>
    <row r="65" spans="1:22" ht="16" thickTop="1" x14ac:dyDescent="0.2">
      <c r="A65" s="93" t="s">
        <v>46</v>
      </c>
      <c r="B65" s="94"/>
      <c r="C65" s="94"/>
      <c r="D65" s="94"/>
      <c r="E65" s="94"/>
      <c r="F65" s="94"/>
      <c r="G65" s="94"/>
      <c r="H65" s="94"/>
      <c r="I65" s="94"/>
      <c r="J65" s="94"/>
      <c r="L65" s="93" t="s">
        <v>142</v>
      </c>
      <c r="M65" s="94"/>
      <c r="N65" s="94"/>
      <c r="O65" s="94"/>
      <c r="P65" s="94"/>
      <c r="Q65" s="94"/>
      <c r="R65" s="94"/>
      <c r="S65" s="94"/>
      <c r="T65" s="94"/>
      <c r="U65" s="94"/>
      <c r="V65" s="94"/>
    </row>
    <row r="66" spans="1:22" x14ac:dyDescent="0.2">
      <c r="A66" s="8" t="s">
        <v>30</v>
      </c>
      <c r="B66" s="8" t="s">
        <v>29</v>
      </c>
      <c r="C66" s="8" t="s">
        <v>175</v>
      </c>
      <c r="D66" s="8" t="s">
        <v>44</v>
      </c>
      <c r="E66" s="8" t="s">
        <v>43</v>
      </c>
      <c r="F66" s="8" t="s">
        <v>42</v>
      </c>
      <c r="G66" s="8" t="s">
        <v>41</v>
      </c>
      <c r="H66" s="11" t="s">
        <v>28</v>
      </c>
      <c r="I66" s="9" t="s">
        <v>27</v>
      </c>
      <c r="J66" s="8" t="s">
        <v>27</v>
      </c>
      <c r="L66" s="8" t="s">
        <v>30</v>
      </c>
      <c r="M66" s="8" t="s">
        <v>29</v>
      </c>
      <c r="N66" s="8" t="s">
        <v>175</v>
      </c>
      <c r="O66" s="8" t="s">
        <v>44</v>
      </c>
      <c r="P66" s="8" t="s">
        <v>43</v>
      </c>
      <c r="Q66" s="8" t="s">
        <v>42</v>
      </c>
      <c r="R66" s="8" t="s">
        <v>41</v>
      </c>
      <c r="S66" s="11" t="s">
        <v>28</v>
      </c>
      <c r="T66" s="9" t="s">
        <v>27</v>
      </c>
      <c r="U66" s="9"/>
      <c r="V66" s="8" t="s">
        <v>27</v>
      </c>
    </row>
    <row r="67" spans="1:22" x14ac:dyDescent="0.2">
      <c r="A67" s="8"/>
      <c r="B67" s="8" t="s">
        <v>26</v>
      </c>
      <c r="C67" s="8" t="s">
        <v>40</v>
      </c>
      <c r="D67" s="8" t="s">
        <v>39</v>
      </c>
      <c r="E67" s="8" t="s">
        <v>39</v>
      </c>
      <c r="F67" s="8" t="s">
        <v>38</v>
      </c>
      <c r="G67" s="8" t="s">
        <v>38</v>
      </c>
      <c r="H67" s="10" t="s">
        <v>26</v>
      </c>
      <c r="I67" s="9" t="s">
        <v>25</v>
      </c>
      <c r="J67" s="8" t="s">
        <v>24</v>
      </c>
      <c r="L67" s="8"/>
      <c r="M67" s="8" t="s">
        <v>26</v>
      </c>
      <c r="N67" s="8" t="s">
        <v>40</v>
      </c>
      <c r="O67" s="8" t="s">
        <v>39</v>
      </c>
      <c r="P67" s="8" t="s">
        <v>39</v>
      </c>
      <c r="Q67" s="8" t="s">
        <v>38</v>
      </c>
      <c r="R67" s="8" t="s">
        <v>38</v>
      </c>
      <c r="S67" s="10" t="s">
        <v>26</v>
      </c>
      <c r="T67" s="9" t="s">
        <v>25</v>
      </c>
      <c r="U67" s="9"/>
      <c r="V67" s="8" t="s">
        <v>24</v>
      </c>
    </row>
    <row r="68" spans="1:22" x14ac:dyDescent="0.2">
      <c r="A68" s="5" t="s">
        <v>23</v>
      </c>
      <c r="B68" s="4">
        <f>MAX(M4_leaching!F3:G3)</f>
        <v>1.09E-2</v>
      </c>
      <c r="C68" s="2">
        <f>2*B68*$B$39/1000</f>
        <v>4.7087999999999989E-6</v>
      </c>
      <c r="D68" s="2">
        <f>C68*$B$35/$B$34</f>
        <v>1.2996287999999997E-5</v>
      </c>
      <c r="E68" s="2">
        <f>C68*$B$36/$B$34</f>
        <v>3.898886399999999E-5</v>
      </c>
      <c r="F68" s="2">
        <f>D68/$E$16</f>
        <v>2.1660479999999993E-6</v>
      </c>
      <c r="G68" s="2">
        <f>E68/$E$17</f>
        <v>5.1985151999999987E-6</v>
      </c>
      <c r="H68" s="7">
        <v>5.7000000000000002E-2</v>
      </c>
      <c r="I68" s="2">
        <f>F68/H68</f>
        <v>3.8000842105263141E-5</v>
      </c>
      <c r="J68" s="2">
        <f>G68/H68</f>
        <v>9.1202021052631547E-5</v>
      </c>
      <c r="L68" s="5" t="s">
        <v>23</v>
      </c>
      <c r="M68" s="4">
        <f>MAX(M4_leaching!F3:G3)</f>
        <v>1.09E-2</v>
      </c>
      <c r="N68" s="2">
        <f>2*M68*$B$39/1000</f>
        <v>4.7087999999999989E-6</v>
      </c>
      <c r="O68" s="2">
        <f>N68*$B$35/$B$34</f>
        <v>1.2996287999999997E-5</v>
      </c>
      <c r="P68" s="2">
        <f>N68*$B$36/$B$34</f>
        <v>3.898886399999999E-5</v>
      </c>
      <c r="Q68" s="2">
        <f>O68/($E$16*$B$30)</f>
        <v>3.3426666666666653E-10</v>
      </c>
      <c r="R68" s="2">
        <f>P68/($E$17*$E$30)</f>
        <v>8.022399999999996E-10</v>
      </c>
      <c r="S68" s="7">
        <v>5.7000000000000002E-2</v>
      </c>
      <c r="T68" s="2">
        <f>Q68/S68</f>
        <v>5.8643274853801143E-9</v>
      </c>
      <c r="U68" s="2"/>
      <c r="V68" s="2">
        <f>R68/S68</f>
        <v>1.4074385964912274E-8</v>
      </c>
    </row>
    <row r="69" spans="1:22" x14ac:dyDescent="0.2">
      <c r="A69" s="5" t="s">
        <v>22</v>
      </c>
      <c r="B69" s="4">
        <f>MAX(M4_leaching!F4:G4)</f>
        <v>104</v>
      </c>
      <c r="C69" s="2">
        <f t="shared" ref="C69:C85" si="17">2*B69*$B$39/1000</f>
        <v>4.4927999999999996E-2</v>
      </c>
      <c r="D69" s="2">
        <f t="shared" ref="D69:D85" si="18">C69*$B$35/$B$34</f>
        <v>0.12400128000000002</v>
      </c>
      <c r="E69" s="2">
        <f t="shared" ref="E69:E85" si="19">C69*$B$36/$B$34</f>
        <v>0.37200383999999997</v>
      </c>
      <c r="F69" s="2">
        <f t="shared" ref="F69:F85" si="20">D69/$E$16</f>
        <v>2.0666880000000002E-2</v>
      </c>
      <c r="G69" s="2">
        <f t="shared" ref="G69:G85" si="21">E69/$E$17</f>
        <v>4.9600511999999999E-2</v>
      </c>
      <c r="H69" s="7">
        <v>114.7</v>
      </c>
      <c r="I69" s="2">
        <f t="shared" ref="I69:I85" si="22">F69/H69</f>
        <v>1.8018204010462077E-4</v>
      </c>
      <c r="J69" s="2">
        <f t="shared" ref="J69:J85" si="23">G69/H69</f>
        <v>4.324368962510898E-4</v>
      </c>
      <c r="L69" s="5" t="s">
        <v>22</v>
      </c>
      <c r="M69" s="4">
        <f>MAX(M4_leaching!F4:G4)</f>
        <v>104</v>
      </c>
      <c r="N69" s="2">
        <f t="shared" ref="N69:N85" si="24">2*M69*$B$39/1000</f>
        <v>4.4927999999999996E-2</v>
      </c>
      <c r="O69" s="2">
        <f t="shared" ref="O69:O85" si="25">N69*$B$35/$B$34</f>
        <v>0.12400128000000002</v>
      </c>
      <c r="P69" s="2">
        <f t="shared" ref="P69:P85" si="26">N69*$B$36/$B$34</f>
        <v>0.37200383999999997</v>
      </c>
      <c r="Q69" s="2">
        <f t="shared" ref="Q69:Q85" si="27">O69/($E$16*$B$30)</f>
        <v>3.1893333333333331E-6</v>
      </c>
      <c r="R69" s="2">
        <f t="shared" ref="R69:R85" si="28">P69/($E$17*$E$30)</f>
        <v>7.6543999999999974E-6</v>
      </c>
      <c r="S69" s="7">
        <v>114.7</v>
      </c>
      <c r="T69" s="2">
        <f t="shared" ref="T69:T85" si="29">Q69/S69</f>
        <v>2.7805870386515546E-8</v>
      </c>
      <c r="U69" s="2"/>
      <c r="V69" s="2">
        <f t="shared" ref="V69:V85" si="30">R69/S69</f>
        <v>6.6734088927637286E-8</v>
      </c>
    </row>
    <row r="70" spans="1:22" x14ac:dyDescent="0.2">
      <c r="A70" s="5" t="s">
        <v>20</v>
      </c>
      <c r="B70" s="4">
        <f>MAX(M4_leaching!F5:G5)</f>
        <v>142</v>
      </c>
      <c r="C70" s="2">
        <f t="shared" si="17"/>
        <v>6.1343999999999996E-2</v>
      </c>
      <c r="D70" s="2">
        <f t="shared" si="18"/>
        <v>0.16930944000000001</v>
      </c>
      <c r="E70" s="2">
        <f t="shared" si="19"/>
        <v>0.50792831999999999</v>
      </c>
      <c r="F70" s="2">
        <f t="shared" si="20"/>
        <v>2.8218240000000002E-2</v>
      </c>
      <c r="G70" s="2">
        <f t="shared" si="21"/>
        <v>6.7723775999999999E-2</v>
      </c>
      <c r="H70" s="6">
        <v>2900</v>
      </c>
      <c r="I70" s="2">
        <f t="shared" si="22"/>
        <v>9.7304275862068979E-6</v>
      </c>
      <c r="J70" s="2">
        <f t="shared" si="23"/>
        <v>2.3353026206896552E-5</v>
      </c>
      <c r="L70" s="5" t="s">
        <v>20</v>
      </c>
      <c r="M70" s="4">
        <f>MAX(M4_leaching!F5:G5)</f>
        <v>142</v>
      </c>
      <c r="N70" s="2">
        <f t="shared" si="24"/>
        <v>6.1343999999999996E-2</v>
      </c>
      <c r="O70" s="2">
        <f t="shared" si="25"/>
        <v>0.16930944000000001</v>
      </c>
      <c r="P70" s="2">
        <f t="shared" si="26"/>
        <v>0.50792831999999999</v>
      </c>
      <c r="Q70" s="2">
        <f t="shared" si="27"/>
        <v>4.3546666666666657E-6</v>
      </c>
      <c r="R70" s="2">
        <f t="shared" si="28"/>
        <v>1.0451199999999997E-5</v>
      </c>
      <c r="S70" s="6">
        <v>2900</v>
      </c>
      <c r="T70" s="2">
        <f t="shared" si="29"/>
        <v>1.5016091954022984E-9</v>
      </c>
      <c r="U70" s="2"/>
      <c r="V70" s="2">
        <f t="shared" si="30"/>
        <v>3.6038620689655163E-9</v>
      </c>
    </row>
    <row r="71" spans="1:22" x14ac:dyDescent="0.2">
      <c r="A71" s="5" t="s">
        <v>18</v>
      </c>
      <c r="B71" s="4">
        <f>MAX(M4_leaching!F6:G6)</f>
        <v>22.2</v>
      </c>
      <c r="C71" s="2">
        <f t="shared" si="17"/>
        <v>9.5903999999999989E-3</v>
      </c>
      <c r="D71" s="2">
        <f t="shared" si="18"/>
        <v>2.6469504000000001E-2</v>
      </c>
      <c r="E71" s="2">
        <f t="shared" si="19"/>
        <v>7.9408512000000001E-2</v>
      </c>
      <c r="F71" s="2">
        <f t="shared" si="20"/>
        <v>4.4115840000000005E-3</v>
      </c>
      <c r="G71" s="2">
        <f t="shared" si="21"/>
        <v>1.05878016E-2</v>
      </c>
      <c r="H71" s="3">
        <v>1.06</v>
      </c>
      <c r="I71" s="2">
        <f t="shared" si="22"/>
        <v>4.161871698113208E-3</v>
      </c>
      <c r="J71" s="2">
        <f t="shared" si="23"/>
        <v>9.9884920754716982E-3</v>
      </c>
      <c r="L71" s="5" t="s">
        <v>18</v>
      </c>
      <c r="M71" s="4">
        <f>MAX(M4_leaching!F6:G6)</f>
        <v>22.2</v>
      </c>
      <c r="N71" s="2">
        <f t="shared" si="24"/>
        <v>9.5903999999999989E-3</v>
      </c>
      <c r="O71" s="2">
        <f t="shared" si="25"/>
        <v>2.6469504000000001E-2</v>
      </c>
      <c r="P71" s="2">
        <f t="shared" si="26"/>
        <v>7.9408512000000001E-2</v>
      </c>
      <c r="Q71" s="2">
        <f t="shared" si="27"/>
        <v>6.807999999999999E-7</v>
      </c>
      <c r="R71" s="2">
        <f t="shared" si="28"/>
        <v>1.6339199999999994E-6</v>
      </c>
      <c r="S71" s="3">
        <v>1.06</v>
      </c>
      <c r="T71" s="2">
        <f t="shared" si="29"/>
        <v>6.4226415094339613E-7</v>
      </c>
      <c r="U71" s="2"/>
      <c r="V71" s="2">
        <f t="shared" si="30"/>
        <v>1.5414339622641503E-6</v>
      </c>
    </row>
    <row r="72" spans="1:22" x14ac:dyDescent="0.2">
      <c r="A72" s="5" t="s">
        <v>17</v>
      </c>
      <c r="B72" s="4">
        <f>MAX(M4_leaching!F7:G7)</f>
        <v>319</v>
      </c>
      <c r="C72" s="2">
        <f t="shared" si="17"/>
        <v>0.13780799999999999</v>
      </c>
      <c r="D72" s="2">
        <f t="shared" si="18"/>
        <v>0.38035008000000003</v>
      </c>
      <c r="E72" s="2">
        <f t="shared" si="19"/>
        <v>1.1410502399999998</v>
      </c>
      <c r="F72" s="2">
        <f t="shared" si="20"/>
        <v>6.3391680000000006E-2</v>
      </c>
      <c r="G72" s="2">
        <f t="shared" si="21"/>
        <v>0.15214003199999998</v>
      </c>
      <c r="H72" s="3">
        <v>6.3</v>
      </c>
      <c r="I72" s="2">
        <f t="shared" si="22"/>
        <v>1.006217142857143E-2</v>
      </c>
      <c r="J72" s="2">
        <f t="shared" si="23"/>
        <v>2.4149211428571425E-2</v>
      </c>
      <c r="L72" s="5" t="s">
        <v>17</v>
      </c>
      <c r="M72" s="4">
        <f>MAX(M4_leaching!F7:G7)</f>
        <v>319</v>
      </c>
      <c r="N72" s="2">
        <f t="shared" si="24"/>
        <v>0.13780799999999999</v>
      </c>
      <c r="O72" s="2">
        <f t="shared" si="25"/>
        <v>0.38035008000000003</v>
      </c>
      <c r="P72" s="2">
        <f t="shared" si="26"/>
        <v>1.1410502399999998</v>
      </c>
      <c r="Q72" s="2">
        <f t="shared" si="27"/>
        <v>9.7826666666666653E-6</v>
      </c>
      <c r="R72" s="2">
        <f t="shared" si="28"/>
        <v>2.3478399999999989E-5</v>
      </c>
      <c r="S72" s="3">
        <v>6.3</v>
      </c>
      <c r="T72" s="2">
        <f t="shared" si="29"/>
        <v>1.5528042328042327E-6</v>
      </c>
      <c r="U72" s="2"/>
      <c r="V72" s="2">
        <f t="shared" si="30"/>
        <v>3.726730158730157E-6</v>
      </c>
    </row>
    <row r="73" spans="1:22" x14ac:dyDescent="0.2">
      <c r="A73" s="5" t="s">
        <v>16</v>
      </c>
      <c r="B73" s="4">
        <f>MAX(M4_leaching!F8:G8)</f>
        <v>17.399999999999999</v>
      </c>
      <c r="C73" s="2">
        <f t="shared" si="17"/>
        <v>7.516799999999998E-3</v>
      </c>
      <c r="D73" s="2">
        <f t="shared" si="18"/>
        <v>2.0746367999999994E-2</v>
      </c>
      <c r="E73" s="2">
        <f t="shared" si="19"/>
        <v>6.223910399999999E-2</v>
      </c>
      <c r="F73" s="2">
        <f t="shared" si="20"/>
        <v>3.4577279999999989E-3</v>
      </c>
      <c r="G73" s="2">
        <f t="shared" si="21"/>
        <v>8.2985471999999991E-3</v>
      </c>
      <c r="H73" s="3">
        <v>1650</v>
      </c>
      <c r="I73" s="2">
        <f t="shared" si="22"/>
        <v>2.0955927272727267E-6</v>
      </c>
      <c r="J73" s="2">
        <f t="shared" si="23"/>
        <v>5.0294225454545446E-6</v>
      </c>
      <c r="L73" s="5" t="s">
        <v>16</v>
      </c>
      <c r="M73" s="4">
        <f>MAX(M4_leaching!F8:G8)</f>
        <v>17.399999999999999</v>
      </c>
      <c r="N73" s="2">
        <f t="shared" si="24"/>
        <v>7.516799999999998E-3</v>
      </c>
      <c r="O73" s="2">
        <f t="shared" si="25"/>
        <v>2.0746367999999994E-2</v>
      </c>
      <c r="P73" s="2">
        <f t="shared" si="26"/>
        <v>6.223910399999999E-2</v>
      </c>
      <c r="Q73" s="2">
        <f t="shared" si="27"/>
        <v>5.3359999999999975E-7</v>
      </c>
      <c r="R73" s="2">
        <f t="shared" si="28"/>
        <v>1.2806399999999995E-6</v>
      </c>
      <c r="S73" s="3">
        <v>1650</v>
      </c>
      <c r="T73" s="2">
        <f t="shared" si="29"/>
        <v>3.2339393939393922E-10</v>
      </c>
      <c r="U73" s="2"/>
      <c r="V73" s="2">
        <f t="shared" si="30"/>
        <v>7.7614545454545419E-10</v>
      </c>
    </row>
    <row r="74" spans="1:22" x14ac:dyDescent="0.2">
      <c r="A74" s="5" t="s">
        <v>14</v>
      </c>
      <c r="B74" s="4">
        <f>MAX(M4_leaching!F9:G9)</f>
        <v>814</v>
      </c>
      <c r="C74" s="2">
        <f t="shared" si="17"/>
        <v>0.35164799999999996</v>
      </c>
      <c r="D74" s="2">
        <f t="shared" si="18"/>
        <v>0.97054847999999994</v>
      </c>
      <c r="E74" s="2">
        <f t="shared" si="19"/>
        <v>2.9116454399999996</v>
      </c>
      <c r="F74" s="2">
        <f t="shared" si="20"/>
        <v>0.16175808</v>
      </c>
      <c r="G74" s="2">
        <f t="shared" si="21"/>
        <v>0.38821939199999994</v>
      </c>
      <c r="H74" s="3">
        <v>34</v>
      </c>
      <c r="I74" s="2">
        <f t="shared" si="22"/>
        <v>4.7575905882352937E-3</v>
      </c>
      <c r="J74" s="2">
        <f t="shared" si="23"/>
        <v>1.1418217411764704E-2</v>
      </c>
      <c r="L74" s="5" t="s">
        <v>14</v>
      </c>
      <c r="M74" s="4">
        <f>MAX(M4_leaching!F9:G9)</f>
        <v>814</v>
      </c>
      <c r="N74" s="2">
        <f t="shared" si="24"/>
        <v>0.35164799999999996</v>
      </c>
      <c r="O74" s="2">
        <f t="shared" si="25"/>
        <v>0.97054847999999994</v>
      </c>
      <c r="P74" s="2">
        <f t="shared" si="26"/>
        <v>2.9116454399999996</v>
      </c>
      <c r="Q74" s="2">
        <f t="shared" si="27"/>
        <v>2.4962666666666661E-5</v>
      </c>
      <c r="R74" s="2">
        <f t="shared" si="28"/>
        <v>5.9910399999999974E-5</v>
      </c>
      <c r="S74" s="3">
        <v>34</v>
      </c>
      <c r="T74" s="2">
        <f t="shared" si="29"/>
        <v>7.3419607843137234E-7</v>
      </c>
      <c r="U74" s="2"/>
      <c r="V74" s="2">
        <f t="shared" si="30"/>
        <v>1.7620705882352933E-6</v>
      </c>
    </row>
    <row r="75" spans="1:22" x14ac:dyDescent="0.2">
      <c r="A75" s="5" t="s">
        <v>13</v>
      </c>
      <c r="B75" s="4">
        <f>MAX(M4_leaching!F10:G10)</f>
        <v>0</v>
      </c>
      <c r="C75" s="2">
        <f t="shared" si="17"/>
        <v>0</v>
      </c>
      <c r="D75" s="2">
        <f t="shared" si="18"/>
        <v>0</v>
      </c>
      <c r="E75" s="2">
        <f t="shared" si="19"/>
        <v>0</v>
      </c>
      <c r="F75" s="2">
        <f t="shared" si="20"/>
        <v>0</v>
      </c>
      <c r="G75" s="2">
        <f t="shared" si="21"/>
        <v>0</v>
      </c>
      <c r="H75" s="3">
        <v>11900</v>
      </c>
      <c r="I75" s="2">
        <f t="shared" si="22"/>
        <v>0</v>
      </c>
      <c r="J75" s="2">
        <f t="shared" si="23"/>
        <v>0</v>
      </c>
      <c r="L75" s="5" t="s">
        <v>13</v>
      </c>
      <c r="M75" s="4">
        <f>MAX(M4_leaching!F10:G10)</f>
        <v>0</v>
      </c>
      <c r="N75" s="2">
        <f t="shared" si="24"/>
        <v>0</v>
      </c>
      <c r="O75" s="2">
        <f t="shared" si="25"/>
        <v>0</v>
      </c>
      <c r="P75" s="2">
        <f t="shared" si="26"/>
        <v>0</v>
      </c>
      <c r="Q75" s="2">
        <f t="shared" si="27"/>
        <v>0</v>
      </c>
      <c r="R75" s="2">
        <f t="shared" si="28"/>
        <v>0</v>
      </c>
      <c r="S75" s="3">
        <v>11900</v>
      </c>
      <c r="T75" s="2">
        <f t="shared" si="29"/>
        <v>0</v>
      </c>
      <c r="U75" s="2"/>
      <c r="V75" s="2">
        <f t="shared" si="30"/>
        <v>0</v>
      </c>
    </row>
    <row r="76" spans="1:22" x14ac:dyDescent="0.2">
      <c r="A76" s="5" t="s">
        <v>11</v>
      </c>
      <c r="B76" s="4">
        <f>MAX(M4_leaching!F11:G11)</f>
        <v>0</v>
      </c>
      <c r="C76" s="2">
        <f t="shared" si="17"/>
        <v>0</v>
      </c>
      <c r="D76" s="2">
        <f t="shared" si="18"/>
        <v>0</v>
      </c>
      <c r="E76" s="2">
        <f t="shared" si="19"/>
        <v>0</v>
      </c>
      <c r="F76" s="2">
        <f t="shared" si="20"/>
        <v>0</v>
      </c>
      <c r="G76" s="2">
        <f t="shared" si="21"/>
        <v>0</v>
      </c>
      <c r="H76" s="3">
        <v>37</v>
      </c>
      <c r="I76" s="2">
        <f t="shared" si="22"/>
        <v>0</v>
      </c>
      <c r="J76" s="2">
        <f t="shared" si="23"/>
        <v>0</v>
      </c>
      <c r="L76" s="5" t="s">
        <v>11</v>
      </c>
      <c r="M76" s="4">
        <f>MAX(M4_leaching!F11:G11)</f>
        <v>0</v>
      </c>
      <c r="N76" s="2">
        <f t="shared" si="24"/>
        <v>0</v>
      </c>
      <c r="O76" s="2">
        <f t="shared" si="25"/>
        <v>0</v>
      </c>
      <c r="P76" s="2">
        <f t="shared" si="26"/>
        <v>0</v>
      </c>
      <c r="Q76" s="2">
        <f t="shared" si="27"/>
        <v>0</v>
      </c>
      <c r="R76" s="2">
        <f t="shared" si="28"/>
        <v>0</v>
      </c>
      <c r="S76" s="3">
        <v>37</v>
      </c>
      <c r="T76" s="2">
        <f t="shared" si="29"/>
        <v>0</v>
      </c>
      <c r="U76" s="2"/>
      <c r="V76" s="2">
        <f t="shared" si="30"/>
        <v>0</v>
      </c>
    </row>
    <row r="77" spans="1:22" x14ac:dyDescent="0.2">
      <c r="A77" s="5" t="s">
        <v>10</v>
      </c>
      <c r="B77" s="4">
        <f>MAX(M4_leaching!F12:G12)</f>
        <v>2.9</v>
      </c>
      <c r="C77" s="2">
        <f t="shared" si="17"/>
        <v>1.2527999999999997E-3</v>
      </c>
      <c r="D77" s="2">
        <f t="shared" si="18"/>
        <v>3.4577279999999998E-3</v>
      </c>
      <c r="E77" s="2">
        <f t="shared" si="19"/>
        <v>1.0373183999999997E-2</v>
      </c>
      <c r="F77" s="2">
        <f t="shared" si="20"/>
        <v>5.76288E-4</v>
      </c>
      <c r="G77" s="2">
        <f t="shared" si="21"/>
        <v>1.3830911999999996E-3</v>
      </c>
      <c r="H77" s="3">
        <v>4.0999999999999996</v>
      </c>
      <c r="I77" s="2">
        <f t="shared" si="22"/>
        <v>1.4055804878048781E-4</v>
      </c>
      <c r="J77" s="2">
        <f t="shared" si="23"/>
        <v>3.3733931707317065E-4</v>
      </c>
      <c r="L77" s="5" t="s">
        <v>10</v>
      </c>
      <c r="M77" s="4">
        <f>MAX(M4_leaching!F12:G12)</f>
        <v>2.9</v>
      </c>
      <c r="N77" s="2">
        <f t="shared" si="24"/>
        <v>1.2527999999999997E-3</v>
      </c>
      <c r="O77" s="2">
        <f t="shared" si="25"/>
        <v>3.4577279999999998E-3</v>
      </c>
      <c r="P77" s="2">
        <f t="shared" si="26"/>
        <v>1.0373183999999997E-2</v>
      </c>
      <c r="Q77" s="2">
        <f t="shared" si="27"/>
        <v>8.8933333333333309E-8</v>
      </c>
      <c r="R77" s="2">
        <f t="shared" si="28"/>
        <v>2.1343999999999988E-7</v>
      </c>
      <c r="S77" s="3">
        <v>4.0999999999999996</v>
      </c>
      <c r="T77" s="2">
        <f t="shared" si="29"/>
        <v>2.1691056910569101E-8</v>
      </c>
      <c r="U77" s="2"/>
      <c r="V77" s="2">
        <f t="shared" si="30"/>
        <v>5.2058536585365829E-8</v>
      </c>
    </row>
    <row r="78" spans="1:22" x14ac:dyDescent="0.2">
      <c r="A78" s="5" t="s">
        <v>9</v>
      </c>
      <c r="B78" s="4">
        <f>MAX(M4_leaching!F13:G13)</f>
        <v>1740</v>
      </c>
      <c r="C78" s="2">
        <f t="shared" si="17"/>
        <v>0.7516799999999999</v>
      </c>
      <c r="D78" s="2">
        <f t="shared" si="18"/>
        <v>2.0746367999999999</v>
      </c>
      <c r="E78" s="2">
        <f t="shared" si="19"/>
        <v>6.2239103999999994</v>
      </c>
      <c r="F78" s="2">
        <f t="shared" si="20"/>
        <v>0.34577279999999999</v>
      </c>
      <c r="G78" s="2">
        <f t="shared" si="21"/>
        <v>0.82985471999999993</v>
      </c>
      <c r="H78" s="3">
        <v>14.4</v>
      </c>
      <c r="I78" s="2">
        <f t="shared" si="22"/>
        <v>2.4011999999999999E-2</v>
      </c>
      <c r="J78" s="2">
        <f t="shared" si="23"/>
        <v>5.7628799999999994E-2</v>
      </c>
      <c r="L78" s="5" t="s">
        <v>9</v>
      </c>
      <c r="M78" s="4">
        <f>MAX(M4_leaching!F13:G13)</f>
        <v>1740</v>
      </c>
      <c r="N78" s="2">
        <f t="shared" si="24"/>
        <v>0.7516799999999999</v>
      </c>
      <c r="O78" s="2">
        <f t="shared" si="25"/>
        <v>2.0746367999999999</v>
      </c>
      <c r="P78" s="2">
        <f t="shared" si="26"/>
        <v>6.2239103999999994</v>
      </c>
      <c r="Q78" s="2">
        <f t="shared" si="27"/>
        <v>5.3359999999999991E-5</v>
      </c>
      <c r="R78" s="2">
        <f t="shared" si="28"/>
        <v>1.2806399999999994E-4</v>
      </c>
      <c r="S78" s="3">
        <v>14.4</v>
      </c>
      <c r="T78" s="2">
        <f t="shared" si="29"/>
        <v>3.7055555555555549E-6</v>
      </c>
      <c r="U78" s="2"/>
      <c r="V78" s="2">
        <f t="shared" si="30"/>
        <v>8.8933333333333301E-6</v>
      </c>
    </row>
    <row r="79" spans="1:22" x14ac:dyDescent="0.2">
      <c r="A79" s="5" t="s">
        <v>6</v>
      </c>
      <c r="B79" s="4">
        <f>MAX(M4_leaching!F14:G14)</f>
        <v>1.87</v>
      </c>
      <c r="C79" s="2">
        <f t="shared" si="17"/>
        <v>8.0783999999999988E-4</v>
      </c>
      <c r="D79" s="2">
        <f t="shared" si="18"/>
        <v>2.2296384000000001E-3</v>
      </c>
      <c r="E79" s="2">
        <f t="shared" si="19"/>
        <v>6.6889152000000002E-3</v>
      </c>
      <c r="F79" s="2">
        <f t="shared" si="20"/>
        <v>3.7160639999999999E-4</v>
      </c>
      <c r="G79" s="2">
        <f t="shared" si="21"/>
        <v>8.9185536000000007E-4</v>
      </c>
      <c r="H79" s="3">
        <v>0.19</v>
      </c>
      <c r="I79" s="2">
        <f t="shared" si="22"/>
        <v>1.955823157894737E-3</v>
      </c>
      <c r="J79" s="2">
        <f t="shared" si="23"/>
        <v>4.6939755789473687E-3</v>
      </c>
      <c r="L79" s="5" t="s">
        <v>6</v>
      </c>
      <c r="M79" s="4">
        <f>MAX(M4_leaching!F14:G14)</f>
        <v>1.87</v>
      </c>
      <c r="N79" s="2">
        <f t="shared" si="24"/>
        <v>8.0783999999999988E-4</v>
      </c>
      <c r="O79" s="2">
        <f t="shared" si="25"/>
        <v>2.2296384000000001E-3</v>
      </c>
      <c r="P79" s="2">
        <f t="shared" si="26"/>
        <v>6.6889152000000002E-3</v>
      </c>
      <c r="Q79" s="2">
        <f t="shared" si="27"/>
        <v>5.7346666666666655E-8</v>
      </c>
      <c r="R79" s="2">
        <f t="shared" si="28"/>
        <v>1.3763199999999997E-7</v>
      </c>
      <c r="S79" s="3">
        <v>0.19</v>
      </c>
      <c r="T79" s="2">
        <f t="shared" si="29"/>
        <v>3.0182456140350872E-7</v>
      </c>
      <c r="U79" s="2"/>
      <c r="V79" s="2">
        <f t="shared" si="30"/>
        <v>7.2437894736842087E-7</v>
      </c>
    </row>
    <row r="80" spans="1:22" x14ac:dyDescent="0.2">
      <c r="A80" s="5" t="s">
        <v>5</v>
      </c>
      <c r="B80" s="4">
        <f>MAX(M4_leaching!F15:G15)</f>
        <v>13.1</v>
      </c>
      <c r="C80" s="2">
        <f t="shared" si="17"/>
        <v>5.6591999999999996E-3</v>
      </c>
      <c r="D80" s="2">
        <f t="shared" si="18"/>
        <v>1.5619392000000001E-2</v>
      </c>
      <c r="E80" s="2">
        <f t="shared" si="19"/>
        <v>4.6858175999999994E-2</v>
      </c>
      <c r="F80" s="2">
        <f t="shared" si="20"/>
        <v>2.603232E-3</v>
      </c>
      <c r="G80" s="2">
        <f t="shared" si="21"/>
        <v>6.2477567999999995E-3</v>
      </c>
      <c r="H80" s="3">
        <v>6.5</v>
      </c>
      <c r="I80" s="2">
        <f t="shared" si="22"/>
        <v>4.0049723076923075E-4</v>
      </c>
      <c r="J80" s="2">
        <f t="shared" si="23"/>
        <v>9.6119335384615382E-4</v>
      </c>
      <c r="L80" s="5" t="s">
        <v>5</v>
      </c>
      <c r="M80" s="4">
        <f>MAX(M4_leaching!F15:G15)</f>
        <v>13.1</v>
      </c>
      <c r="N80" s="2">
        <f t="shared" si="24"/>
        <v>5.6591999999999996E-3</v>
      </c>
      <c r="O80" s="2">
        <f t="shared" si="25"/>
        <v>1.5619392000000001E-2</v>
      </c>
      <c r="P80" s="2">
        <f t="shared" si="26"/>
        <v>4.6858175999999994E-2</v>
      </c>
      <c r="Q80" s="2">
        <f t="shared" si="27"/>
        <v>4.017333333333333E-7</v>
      </c>
      <c r="R80" s="2">
        <f t="shared" si="28"/>
        <v>9.6415999999999955E-7</v>
      </c>
      <c r="S80" s="3">
        <v>6.5</v>
      </c>
      <c r="T80" s="2">
        <f t="shared" si="29"/>
        <v>6.1805128205128197E-8</v>
      </c>
      <c r="U80" s="2"/>
      <c r="V80" s="2">
        <f t="shared" si="30"/>
        <v>1.4833230769230762E-7</v>
      </c>
    </row>
    <row r="81" spans="1:22" x14ac:dyDescent="0.2">
      <c r="A81" s="5" t="s">
        <v>4</v>
      </c>
      <c r="B81" s="4">
        <f>MAX(M4_leaching!F16:G16)</f>
        <v>89.3</v>
      </c>
      <c r="C81" s="2">
        <f t="shared" si="17"/>
        <v>3.8577599999999997E-2</v>
      </c>
      <c r="D81" s="2">
        <f t="shared" si="18"/>
        <v>0.106474176</v>
      </c>
      <c r="E81" s="2">
        <f t="shared" si="19"/>
        <v>0.31942252799999998</v>
      </c>
      <c r="F81" s="2">
        <f t="shared" si="20"/>
        <v>1.7745696000000002E-2</v>
      </c>
      <c r="G81" s="2">
        <f t="shared" si="21"/>
        <v>4.2589670399999995E-2</v>
      </c>
      <c r="H81" s="3">
        <v>20</v>
      </c>
      <c r="I81" s="2">
        <f t="shared" si="22"/>
        <v>8.8728480000000007E-4</v>
      </c>
      <c r="J81" s="2">
        <f t="shared" si="23"/>
        <v>2.1294835199999998E-3</v>
      </c>
      <c r="L81" s="5" t="s">
        <v>4</v>
      </c>
      <c r="M81" s="4">
        <f>MAX(M4_leaching!F16:G16)</f>
        <v>89.3</v>
      </c>
      <c r="N81" s="2">
        <f t="shared" si="24"/>
        <v>3.8577599999999997E-2</v>
      </c>
      <c r="O81" s="2">
        <f t="shared" si="25"/>
        <v>0.106474176</v>
      </c>
      <c r="P81" s="2">
        <f t="shared" si="26"/>
        <v>0.31942252799999998</v>
      </c>
      <c r="Q81" s="2">
        <f t="shared" si="27"/>
        <v>2.7385333333333331E-6</v>
      </c>
      <c r="R81" s="2">
        <f t="shared" si="28"/>
        <v>6.5724799999999979E-6</v>
      </c>
      <c r="S81" s="3">
        <v>20</v>
      </c>
      <c r="T81" s="2">
        <f t="shared" si="29"/>
        <v>1.3692666666666665E-7</v>
      </c>
      <c r="U81" s="2"/>
      <c r="V81" s="2">
        <f t="shared" si="30"/>
        <v>3.2862399999999989E-7</v>
      </c>
    </row>
    <row r="82" spans="1:22" x14ac:dyDescent="0.2">
      <c r="A82" s="5" t="s">
        <v>3</v>
      </c>
      <c r="B82" s="4">
        <f>MAX(M4_leaching!F17:G17)</f>
        <v>18</v>
      </c>
      <c r="C82" s="2">
        <f t="shared" si="17"/>
        <v>7.7759999999999991E-3</v>
      </c>
      <c r="D82" s="2">
        <f t="shared" si="18"/>
        <v>2.146176E-2</v>
      </c>
      <c r="E82" s="2">
        <f t="shared" si="19"/>
        <v>6.4385279999999989E-2</v>
      </c>
      <c r="F82" s="2">
        <f t="shared" si="20"/>
        <v>3.5769600000000001E-3</v>
      </c>
      <c r="G82" s="2">
        <f t="shared" si="21"/>
        <v>8.5847039999999986E-3</v>
      </c>
      <c r="H82" s="3">
        <v>2.4</v>
      </c>
      <c r="I82" s="2">
        <f t="shared" si="22"/>
        <v>1.4904E-3</v>
      </c>
      <c r="J82" s="2">
        <f t="shared" si="23"/>
        <v>3.5769599999999997E-3</v>
      </c>
      <c r="L82" s="5" t="s">
        <v>3</v>
      </c>
      <c r="M82" s="4">
        <f>MAX(M4_leaching!F17:G17)</f>
        <v>18</v>
      </c>
      <c r="N82" s="2">
        <f t="shared" si="24"/>
        <v>7.7759999999999991E-3</v>
      </c>
      <c r="O82" s="2">
        <f t="shared" si="25"/>
        <v>2.146176E-2</v>
      </c>
      <c r="P82" s="2">
        <f t="shared" si="26"/>
        <v>6.4385279999999989E-2</v>
      </c>
      <c r="Q82" s="2">
        <f t="shared" si="27"/>
        <v>5.5199999999999986E-7</v>
      </c>
      <c r="R82" s="2">
        <f t="shared" si="28"/>
        <v>1.3247999999999994E-6</v>
      </c>
      <c r="S82" s="3">
        <v>2.4</v>
      </c>
      <c r="T82" s="2">
        <f t="shared" si="29"/>
        <v>2.2999999999999994E-7</v>
      </c>
      <c r="U82" s="2"/>
      <c r="V82" s="2">
        <f t="shared" si="30"/>
        <v>5.5199999999999975E-7</v>
      </c>
    </row>
    <row r="83" spans="1:22" x14ac:dyDescent="0.2">
      <c r="A83" s="5" t="s">
        <v>2</v>
      </c>
      <c r="B83" s="4">
        <f>MAX(M4_leaching!F18:G18)</f>
        <v>4.47</v>
      </c>
      <c r="C83" s="2">
        <f t="shared" si="17"/>
        <v>1.9310399999999998E-3</v>
      </c>
      <c r="D83" s="2">
        <f t="shared" si="18"/>
        <v>5.3296704E-3</v>
      </c>
      <c r="E83" s="2">
        <f t="shared" si="19"/>
        <v>1.59890112E-2</v>
      </c>
      <c r="F83" s="2">
        <f t="shared" si="20"/>
        <v>8.8827839999999997E-4</v>
      </c>
      <c r="G83" s="2">
        <f t="shared" si="21"/>
        <v>2.1318681600000001E-3</v>
      </c>
      <c r="H83" s="3">
        <v>5.6</v>
      </c>
      <c r="I83" s="2">
        <f t="shared" si="22"/>
        <v>1.5862114285714287E-4</v>
      </c>
      <c r="J83" s="2">
        <f t="shared" si="23"/>
        <v>3.8069074285714292E-4</v>
      </c>
      <c r="L83" s="5" t="s">
        <v>2</v>
      </c>
      <c r="M83" s="4">
        <f>MAX(M4_leaching!F18:G18)</f>
        <v>4.47</v>
      </c>
      <c r="N83" s="2">
        <f t="shared" si="24"/>
        <v>1.9310399999999998E-3</v>
      </c>
      <c r="O83" s="2">
        <f t="shared" si="25"/>
        <v>5.3296704E-3</v>
      </c>
      <c r="P83" s="2">
        <f t="shared" si="26"/>
        <v>1.59890112E-2</v>
      </c>
      <c r="Q83" s="2">
        <f t="shared" si="27"/>
        <v>1.3707999999999998E-7</v>
      </c>
      <c r="R83" s="2">
        <f t="shared" si="28"/>
        <v>3.2899199999999988E-7</v>
      </c>
      <c r="S83" s="3">
        <v>5.6</v>
      </c>
      <c r="T83" s="2">
        <f t="shared" si="29"/>
        <v>2.4478571428571427E-8</v>
      </c>
      <c r="U83" s="2"/>
      <c r="V83" s="2">
        <f t="shared" si="30"/>
        <v>5.8748571428571412E-8</v>
      </c>
    </row>
    <row r="84" spans="1:22" x14ac:dyDescent="0.2">
      <c r="A84" s="5" t="s">
        <v>1</v>
      </c>
      <c r="B84" s="4">
        <f>MAX(M4_leaching!F19:G19)</f>
        <v>0</v>
      </c>
      <c r="C84" s="2">
        <f t="shared" si="17"/>
        <v>0</v>
      </c>
      <c r="D84" s="2">
        <f t="shared" si="18"/>
        <v>0</v>
      </c>
      <c r="E84" s="2">
        <f t="shared" si="19"/>
        <v>0</v>
      </c>
      <c r="F84" s="2">
        <f t="shared" si="20"/>
        <v>0</v>
      </c>
      <c r="G84" s="2">
        <f t="shared" si="21"/>
        <v>0</v>
      </c>
      <c r="H84" s="3">
        <v>28</v>
      </c>
      <c r="I84" s="2">
        <f t="shared" si="22"/>
        <v>0</v>
      </c>
      <c r="J84" s="2">
        <f t="shared" si="23"/>
        <v>0</v>
      </c>
      <c r="L84" s="5" t="s">
        <v>1</v>
      </c>
      <c r="M84" s="4">
        <f>MAX(M4_leaching!F19:G19)</f>
        <v>0</v>
      </c>
      <c r="N84" s="2">
        <f t="shared" si="24"/>
        <v>0</v>
      </c>
      <c r="O84" s="2">
        <f t="shared" si="25"/>
        <v>0</v>
      </c>
      <c r="P84" s="2">
        <f t="shared" si="26"/>
        <v>0</v>
      </c>
      <c r="Q84" s="2">
        <f t="shared" si="27"/>
        <v>0</v>
      </c>
      <c r="R84" s="2">
        <f t="shared" si="28"/>
        <v>0</v>
      </c>
      <c r="S84" s="3">
        <v>28</v>
      </c>
      <c r="T84" s="2">
        <f t="shared" si="29"/>
        <v>0</v>
      </c>
      <c r="U84" s="2"/>
      <c r="V84" s="2">
        <f t="shared" si="30"/>
        <v>0</v>
      </c>
    </row>
    <row r="85" spans="1:22" x14ac:dyDescent="0.2">
      <c r="A85" s="5" t="s">
        <v>0</v>
      </c>
      <c r="B85" s="4">
        <f>MAX(M4_leaching!F20:G20)</f>
        <v>24636.3</v>
      </c>
      <c r="C85" s="2">
        <f t="shared" si="17"/>
        <v>10.642881599999999</v>
      </c>
      <c r="D85" s="2">
        <f t="shared" si="18"/>
        <v>29.374353216000003</v>
      </c>
      <c r="E85" s="2">
        <f t="shared" si="19"/>
        <v>88.123059647999995</v>
      </c>
      <c r="F85" s="2">
        <f t="shared" si="20"/>
        <v>4.8957255360000005</v>
      </c>
      <c r="G85" s="2">
        <f t="shared" si="21"/>
        <v>11.749741286399999</v>
      </c>
      <c r="H85" s="3">
        <v>170</v>
      </c>
      <c r="I85" s="2">
        <f t="shared" si="22"/>
        <v>2.8798385505882356E-2</v>
      </c>
      <c r="J85" s="2">
        <f t="shared" si="23"/>
        <v>6.9116125214117641E-2</v>
      </c>
      <c r="L85" s="5" t="s">
        <v>0</v>
      </c>
      <c r="M85" s="4">
        <f>MAX(M4_leaching!F20:G20)</f>
        <v>24636.3</v>
      </c>
      <c r="N85" s="2">
        <f t="shared" si="24"/>
        <v>10.642881599999999</v>
      </c>
      <c r="O85" s="2">
        <f t="shared" si="25"/>
        <v>29.374353216000003</v>
      </c>
      <c r="P85" s="2">
        <f t="shared" si="26"/>
        <v>88.123059647999995</v>
      </c>
      <c r="Q85" s="2">
        <f t="shared" si="27"/>
        <v>7.5551319999999993E-4</v>
      </c>
      <c r="R85" s="2">
        <f t="shared" si="28"/>
        <v>1.8132316799999995E-3</v>
      </c>
      <c r="S85" s="3">
        <v>170</v>
      </c>
      <c r="T85" s="2">
        <f t="shared" si="29"/>
        <v>4.4441952941176468E-6</v>
      </c>
      <c r="U85" s="2"/>
      <c r="V85" s="2">
        <f t="shared" si="30"/>
        <v>1.0666068705882351E-5</v>
      </c>
    </row>
  </sheetData>
  <mergeCells count="14">
    <mergeCell ref="A32:F32"/>
    <mergeCell ref="A1:F1"/>
    <mergeCell ref="A10:F10"/>
    <mergeCell ref="A11:C11"/>
    <mergeCell ref="D11:F11"/>
    <mergeCell ref="A21:F21"/>
    <mergeCell ref="A65:J65"/>
    <mergeCell ref="L65:V65"/>
    <mergeCell ref="A42:J42"/>
    <mergeCell ref="L42:V42"/>
    <mergeCell ref="A43:J43"/>
    <mergeCell ref="L43:V43"/>
    <mergeCell ref="A64:J64"/>
    <mergeCell ref="L64:V64"/>
  </mergeCells>
  <conditionalFormatting sqref="I46:J63">
    <cfRule type="cellIs" dxfId="7" priority="14" operator="greaterThan">
      <formula>1</formula>
    </cfRule>
    <cfRule type="cellIs" dxfId="6" priority="13" operator="lessThan">
      <formula>1</formula>
    </cfRule>
  </conditionalFormatting>
  <conditionalFormatting sqref="I68:J85">
    <cfRule type="cellIs" dxfId="5" priority="9" operator="lessThan">
      <formula>1</formula>
    </cfRule>
    <cfRule type="cellIs" dxfId="4" priority="10" operator="greaterThan">
      <formula>1</formula>
    </cfRule>
  </conditionalFormatting>
  <conditionalFormatting sqref="T46:V63">
    <cfRule type="cellIs" dxfId="3" priority="6" operator="greaterThan">
      <formula>1</formula>
    </cfRule>
    <cfRule type="cellIs" dxfId="2" priority="5" operator="lessThan">
      <formula>1</formula>
    </cfRule>
  </conditionalFormatting>
  <conditionalFormatting sqref="T68:V85">
    <cfRule type="cellIs" dxfId="1" priority="2" operator="greaterThan">
      <formula>1</formula>
    </cfRule>
    <cfRule type="cellIs" dxfId="0" priority="1" operator="lessThan">
      <formula>1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M1_leaching</vt:lpstr>
      <vt:lpstr>M1_ERA</vt:lpstr>
      <vt:lpstr>M2_leaching</vt:lpstr>
      <vt:lpstr>M2_ERA</vt:lpstr>
      <vt:lpstr>M3_leaching</vt:lpstr>
      <vt:lpstr>M3_ERA</vt:lpstr>
      <vt:lpstr>M4_leaching</vt:lpstr>
      <vt:lpstr>M4_ERA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Arianna Nativio</dc:creator>
  <cp:lastModifiedBy>Arianna Nativio</cp:lastModifiedBy>
  <dcterms:created xsi:type="dcterms:W3CDTF">2023-07-25T16:38:43Z</dcterms:created>
  <dcterms:modified xsi:type="dcterms:W3CDTF">2024-08-08T21:26:27Z</dcterms:modified>
</cp:coreProperties>
</file>