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d.docs.live.net/658659605715c72d/Desktop/ETHZ_editing version/Data/2_CLEA optimization/"/>
    </mc:Choice>
  </mc:AlternateContent>
  <xr:revisionPtr revIDLastSave="7" documentId="13_ncr:1_{1CF5B70E-5FD1-4F28-A301-99041C666BD8}" xr6:coauthVersionLast="46" xr6:coauthVersionMax="46" xr10:uidLastSave="{FBAB3EE7-A7DA-4491-88AD-E7CF26D9E856}"/>
  <bookViews>
    <workbookView xWindow="-103" yWindow="-103" windowWidth="15574" windowHeight="9463" firstSheet="1" activeTab="2" xr2:uid="{00000000-000D-0000-FFFF-FFFF00000000}"/>
  </bookViews>
  <sheets>
    <sheet name="solvent" sheetId="2" r:id="rId1"/>
    <sheet name="temperature" sheetId="3" r:id="rId2"/>
    <sheet name="pH" sheetId="4" r:id="rId3"/>
    <sheet name="no precipitation" sheetId="6" r:id="rId4"/>
    <sheet name="glutaldehyde conc" sheetId="7" r:id="rId5"/>
    <sheet name="dissolvable CLEAS" sheetId="9" r:id="rId6"/>
  </sheets>
  <calcPr calcId="191029"/>
</workbook>
</file>

<file path=xl/calcChain.xml><?xml version="1.0" encoding="utf-8"?>
<calcChain xmlns="http://schemas.openxmlformats.org/spreadsheetml/2006/main">
  <c r="F65" i="2" l="1"/>
  <c r="F63" i="2"/>
  <c r="F60" i="2"/>
  <c r="E65" i="2"/>
  <c r="E63" i="2"/>
  <c r="E60" i="2"/>
  <c r="K15" i="6" l="1"/>
  <c r="G43" i="6" l="1"/>
  <c r="G26" i="9" l="1"/>
  <c r="H22" i="9" l="1"/>
  <c r="I22" i="9" s="1"/>
  <c r="J22" i="9" s="1"/>
  <c r="H17" i="9"/>
  <c r="H18" i="9"/>
  <c r="H19" i="9"/>
  <c r="H20" i="9"/>
  <c r="I20" i="9" s="1"/>
  <c r="J20" i="9" s="1"/>
  <c r="H21" i="9"/>
  <c r="I21" i="9" s="1"/>
  <c r="J21" i="9" s="1"/>
  <c r="H23" i="9"/>
  <c r="I23" i="9" s="1"/>
  <c r="J23" i="9" s="1"/>
  <c r="H16" i="9"/>
  <c r="G23" i="9"/>
  <c r="G22" i="9"/>
  <c r="G21" i="9"/>
  <c r="G20" i="9"/>
  <c r="G19" i="9"/>
  <c r="G18" i="9"/>
  <c r="G17" i="9"/>
  <c r="I17" i="9" s="1"/>
  <c r="J17" i="9" s="1"/>
  <c r="K17" i="9" s="1"/>
  <c r="G16" i="9"/>
  <c r="F23" i="2"/>
  <c r="G10" i="7"/>
  <c r="G9" i="7"/>
  <c r="E7" i="7"/>
  <c r="G7" i="7" s="1"/>
  <c r="E8" i="7"/>
  <c r="G8" i="7" s="1"/>
  <c r="E9" i="7"/>
  <c r="E10" i="7"/>
  <c r="E11" i="7"/>
  <c r="G11" i="7" s="1"/>
  <c r="E12" i="7"/>
  <c r="G12" i="7" s="1"/>
  <c r="E6" i="7"/>
  <c r="F44" i="2"/>
  <c r="F45" i="2"/>
  <c r="F46" i="2"/>
  <c r="F47" i="2"/>
  <c r="F48" i="2"/>
  <c r="F49" i="2"/>
  <c r="F50" i="2"/>
  <c r="F51" i="2"/>
  <c r="F52" i="2"/>
  <c r="F53" i="2"/>
  <c r="F54" i="2"/>
  <c r="F55" i="2"/>
  <c r="H55" i="2" s="1"/>
  <c r="G60" i="2"/>
  <c r="H60" i="2" s="1"/>
  <c r="F34" i="6"/>
  <c r="K38" i="6"/>
  <c r="L38" i="6" s="1"/>
  <c r="J38" i="6"/>
  <c r="F38" i="6"/>
  <c r="E38" i="6"/>
  <c r="K36" i="6"/>
  <c r="J36" i="6"/>
  <c r="F36" i="6"/>
  <c r="E36" i="6"/>
  <c r="K35" i="6"/>
  <c r="J35" i="6"/>
  <c r="F35" i="6"/>
  <c r="E35" i="6"/>
  <c r="K34" i="6"/>
  <c r="J34" i="6"/>
  <c r="E34" i="6"/>
  <c r="K33" i="6"/>
  <c r="J33" i="6"/>
  <c r="F33" i="6"/>
  <c r="E33" i="6"/>
  <c r="F20" i="6"/>
  <c r="K25" i="6"/>
  <c r="J25" i="6"/>
  <c r="F25" i="6"/>
  <c r="E25" i="6"/>
  <c r="K23" i="6"/>
  <c r="J23" i="6"/>
  <c r="F23" i="6"/>
  <c r="E23" i="6"/>
  <c r="K22" i="6"/>
  <c r="J22" i="6"/>
  <c r="F22" i="6"/>
  <c r="E22" i="6"/>
  <c r="K21" i="6"/>
  <c r="J21" i="6"/>
  <c r="F21" i="6"/>
  <c r="G21" i="6" s="1"/>
  <c r="E21" i="6"/>
  <c r="K20" i="6"/>
  <c r="J20" i="6"/>
  <c r="E20" i="6"/>
  <c r="J6" i="6"/>
  <c r="J7" i="6"/>
  <c r="J8" i="6"/>
  <c r="J5" i="6"/>
  <c r="E6" i="6"/>
  <c r="E7" i="6"/>
  <c r="E8" i="6"/>
  <c r="E5" i="6"/>
  <c r="G5" i="6" s="1"/>
  <c r="E10" i="6"/>
  <c r="K5" i="6"/>
  <c r="K6" i="6"/>
  <c r="K7" i="6"/>
  <c r="L7" i="6" s="1"/>
  <c r="K8" i="6"/>
  <c r="L8" i="6" s="1"/>
  <c r="K10" i="6"/>
  <c r="F5" i="6"/>
  <c r="F6" i="6"/>
  <c r="F7" i="6"/>
  <c r="F8" i="6"/>
  <c r="F10" i="6"/>
  <c r="J10" i="6"/>
  <c r="G65" i="2" l="1"/>
  <c r="H65" i="2" s="1"/>
  <c r="I19" i="9"/>
  <c r="J19" i="9" s="1"/>
  <c r="G20" i="6"/>
  <c r="I18" i="9"/>
  <c r="J18" i="9" s="1"/>
  <c r="G34" i="6"/>
  <c r="L6" i="6"/>
  <c r="I16" i="9"/>
  <c r="J16" i="9" s="1"/>
  <c r="K16" i="9" s="1"/>
  <c r="L18" i="9"/>
  <c r="K18" i="9"/>
  <c r="L20" i="9"/>
  <c r="K20" i="9"/>
  <c r="L22" i="9"/>
  <c r="K22" i="9"/>
  <c r="G63" i="2"/>
  <c r="H63" i="2" s="1"/>
  <c r="G23" i="6"/>
  <c r="G33" i="6"/>
  <c r="G35" i="6"/>
  <c r="G38" i="6"/>
  <c r="L21" i="6"/>
  <c r="L23" i="6"/>
  <c r="L33" i="6"/>
  <c r="L35" i="6"/>
  <c r="G22" i="6"/>
  <c r="G25" i="6"/>
  <c r="G36" i="6"/>
  <c r="L10" i="6"/>
  <c r="L20" i="6"/>
  <c r="L22" i="6"/>
  <c r="L25" i="6"/>
  <c r="L34" i="6"/>
  <c r="L36" i="6"/>
  <c r="G6" i="7"/>
  <c r="L5" i="6"/>
  <c r="G8" i="6"/>
  <c r="G7" i="6"/>
  <c r="G6" i="6"/>
  <c r="G10" i="6"/>
  <c r="J27" i="4"/>
  <c r="J28" i="4"/>
  <c r="E28" i="4"/>
  <c r="E7" i="4"/>
  <c r="E24" i="4" s="1"/>
  <c r="E8" i="4"/>
  <c r="E25" i="4" s="1"/>
  <c r="E9" i="4"/>
  <c r="E10" i="4"/>
  <c r="E27" i="4" s="1"/>
  <c r="E6" i="4"/>
  <c r="E23" i="4" s="1"/>
  <c r="K28" i="4"/>
  <c r="F28" i="4"/>
  <c r="K27" i="4"/>
  <c r="F27" i="4"/>
  <c r="K26" i="4"/>
  <c r="F26" i="4"/>
  <c r="K25" i="4"/>
  <c r="F25" i="4"/>
  <c r="K24" i="4"/>
  <c r="F24" i="4"/>
  <c r="K23" i="4"/>
  <c r="F23" i="4"/>
  <c r="L28" i="4" l="1"/>
  <c r="G9" i="4"/>
  <c r="E26" i="4"/>
  <c r="G26" i="4" s="1"/>
  <c r="J23" i="4"/>
  <c r="L23" i="4" s="1"/>
  <c r="J24" i="4"/>
  <c r="L24" i="4" s="1"/>
  <c r="J25" i="4"/>
  <c r="L25" i="4" s="1"/>
  <c r="K14" i="6"/>
  <c r="M33" i="6" s="1"/>
  <c r="J26" i="4"/>
  <c r="L26" i="4" s="1"/>
  <c r="G28" i="4"/>
  <c r="K32" i="4" s="1"/>
  <c r="G24" i="4"/>
  <c r="G27" i="4"/>
  <c r="G25" i="4"/>
  <c r="G6" i="4"/>
  <c r="G10" i="4"/>
  <c r="G23" i="4"/>
  <c r="H23" i="4" s="1"/>
  <c r="L27" i="4"/>
  <c r="G7" i="4"/>
  <c r="G8" i="4"/>
  <c r="E6" i="3"/>
  <c r="E10" i="3"/>
  <c r="E9" i="3"/>
  <c r="E8" i="3"/>
  <c r="E7" i="3"/>
  <c r="F27" i="2"/>
  <c r="F26" i="2"/>
  <c r="F25" i="2"/>
  <c r="F24" i="2"/>
  <c r="M36" i="6" l="1"/>
  <c r="O25" i="3"/>
  <c r="J25" i="3"/>
  <c r="E25" i="3"/>
  <c r="J24" i="3"/>
  <c r="E24" i="3"/>
  <c r="O24" i="3"/>
  <c r="M5" i="6"/>
  <c r="O23" i="4"/>
  <c r="H8" i="6"/>
  <c r="H34" i="6"/>
  <c r="H20" i="6"/>
  <c r="M38" i="6"/>
  <c r="G7" i="3"/>
  <c r="G8" i="3"/>
  <c r="M35" i="6"/>
  <c r="H33" i="6"/>
  <c r="J26" i="3"/>
  <c r="E26" i="3"/>
  <c r="O26" i="3"/>
  <c r="H38" i="6"/>
  <c r="M34" i="6"/>
  <c r="H36" i="6"/>
  <c r="G6" i="3"/>
  <c r="O23" i="3"/>
  <c r="E23" i="3"/>
  <c r="J23" i="3"/>
  <c r="J27" i="3"/>
  <c r="E27" i="3"/>
  <c r="O27" i="3"/>
  <c r="G9" i="3"/>
  <c r="G10" i="3"/>
  <c r="H35" i="6"/>
  <c r="H10" i="6"/>
  <c r="H5" i="6"/>
  <c r="M10" i="6"/>
  <c r="H25" i="6"/>
  <c r="M20" i="6"/>
  <c r="M21" i="6"/>
  <c r="H22" i="6"/>
  <c r="M22" i="6"/>
  <c r="H23" i="6"/>
  <c r="M25" i="6"/>
  <c r="H21" i="6"/>
  <c r="M7" i="6"/>
  <c r="M23" i="6"/>
  <c r="M8" i="6"/>
  <c r="N8" i="6" s="1"/>
  <c r="M6" i="6"/>
  <c r="H6" i="6"/>
  <c r="H7" i="6"/>
  <c r="H26" i="4"/>
  <c r="H24" i="4"/>
  <c r="M25" i="4"/>
  <c r="H27" i="4"/>
  <c r="N27" i="4" s="1"/>
  <c r="M26" i="4"/>
  <c r="M24" i="4"/>
  <c r="M28" i="4"/>
  <c r="M27" i="4"/>
  <c r="H25" i="4"/>
  <c r="H28" i="4"/>
  <c r="M23" i="4"/>
  <c r="N23" i="4" s="1"/>
  <c r="P23" i="3"/>
  <c r="K23" i="3"/>
  <c r="L23" i="3" s="1"/>
  <c r="F23" i="3"/>
  <c r="G23" i="3" s="1"/>
  <c r="P27" i="3"/>
  <c r="K27" i="3"/>
  <c r="F27" i="3"/>
  <c r="G27" i="3" s="1"/>
  <c r="P26" i="3"/>
  <c r="Q26" i="3" s="1"/>
  <c r="K26" i="3"/>
  <c r="L26" i="3" s="1"/>
  <c r="F26" i="3"/>
  <c r="G26" i="3" s="1"/>
  <c r="P24" i="3"/>
  <c r="K24" i="3"/>
  <c r="L24" i="3" s="1"/>
  <c r="F24" i="3"/>
  <c r="G24" i="3" s="1"/>
  <c r="P25" i="3"/>
  <c r="K25" i="3"/>
  <c r="F25" i="3"/>
  <c r="P28" i="3"/>
  <c r="Q28" i="3" s="1"/>
  <c r="K28" i="3"/>
  <c r="L28" i="3" s="1"/>
  <c r="F28" i="3"/>
  <c r="G28" i="3" s="1"/>
  <c r="W23" i="2"/>
  <c r="W24" i="2"/>
  <c r="W25" i="2"/>
  <c r="W26" i="2"/>
  <c r="W27" i="2"/>
  <c r="W28" i="2"/>
  <c r="W30" i="2"/>
  <c r="X30" i="2" s="1"/>
  <c r="R23" i="2"/>
  <c r="R24" i="2"/>
  <c r="R25" i="2"/>
  <c r="R26" i="2"/>
  <c r="R27" i="2"/>
  <c r="R28" i="2"/>
  <c r="R30" i="2"/>
  <c r="S30" i="2" s="1"/>
  <c r="M23" i="2"/>
  <c r="M24" i="2"/>
  <c r="M25" i="2"/>
  <c r="M26" i="2"/>
  <c r="M27" i="2"/>
  <c r="M28" i="2"/>
  <c r="M30" i="2"/>
  <c r="N30" i="2" s="1"/>
  <c r="F28" i="2"/>
  <c r="F29" i="2"/>
  <c r="F30" i="2"/>
  <c r="F31" i="2"/>
  <c r="F32" i="2"/>
  <c r="F33" i="2"/>
  <c r="F34" i="2"/>
  <c r="F35" i="2"/>
  <c r="F36" i="2"/>
  <c r="G36" i="2" s="1"/>
  <c r="G35" i="2"/>
  <c r="H29" i="2" s="1"/>
  <c r="V24" i="2"/>
  <c r="F17" i="2"/>
  <c r="H17" i="2" s="1"/>
  <c r="J16" i="2"/>
  <c r="L28" i="2" s="1"/>
  <c r="F16" i="2"/>
  <c r="H16" i="2" s="1"/>
  <c r="F15" i="2"/>
  <c r="F14" i="2"/>
  <c r="F13" i="2"/>
  <c r="F12" i="2"/>
  <c r="F11" i="2"/>
  <c r="F10" i="2"/>
  <c r="L9" i="2"/>
  <c r="N9" i="2" s="1"/>
  <c r="F9" i="2"/>
  <c r="J8" i="2"/>
  <c r="V26" i="2" s="1"/>
  <c r="F8" i="2"/>
  <c r="E26" i="2" s="1"/>
  <c r="G26" i="2" s="1"/>
  <c r="H26" i="2" s="1"/>
  <c r="J7" i="2"/>
  <c r="L7" i="2" s="1"/>
  <c r="F7" i="2"/>
  <c r="J6" i="2"/>
  <c r="L24" i="2" s="1"/>
  <c r="F6" i="2"/>
  <c r="J5" i="2"/>
  <c r="L5" i="2" s="1"/>
  <c r="F5" i="2"/>
  <c r="Q25" i="2" l="1"/>
  <c r="N22" i="6"/>
  <c r="N25" i="6"/>
  <c r="N28" i="2"/>
  <c r="N28" i="4"/>
  <c r="N21" i="6"/>
  <c r="L25" i="2"/>
  <c r="N25" i="2" s="1"/>
  <c r="O25" i="2" s="1"/>
  <c r="Q24" i="2"/>
  <c r="S24" i="2" s="1"/>
  <c r="T24" i="2" s="1"/>
  <c r="L27" i="3"/>
  <c r="E23" i="2"/>
  <c r="G23" i="2" s="1"/>
  <c r="H23" i="2" s="1"/>
  <c r="N24" i="4"/>
  <c r="O24" i="4"/>
  <c r="N25" i="4"/>
  <c r="O25" i="4"/>
  <c r="N26" i="4"/>
  <c r="O26" i="4"/>
  <c r="O38" i="6"/>
  <c r="N38" i="6"/>
  <c r="L16" i="2"/>
  <c r="M16" i="2" s="1"/>
  <c r="V25" i="2"/>
  <c r="N23" i="6"/>
  <c r="N20" i="6"/>
  <c r="Q28" i="2"/>
  <c r="S28" i="2" s="1"/>
  <c r="T28" i="2" s="1"/>
  <c r="S25" i="2"/>
  <c r="Q27" i="3"/>
  <c r="O8" i="6"/>
  <c r="O34" i="6"/>
  <c r="N34" i="6"/>
  <c r="O36" i="6"/>
  <c r="N36" i="6"/>
  <c r="V23" i="2"/>
  <c r="X23" i="2" s="1"/>
  <c r="Y23" i="2" s="1"/>
  <c r="V28" i="2"/>
  <c r="X28" i="2" s="1"/>
  <c r="Y28" i="2" s="1"/>
  <c r="E34" i="2"/>
  <c r="G34" i="2" s="1"/>
  <c r="H34" i="2" s="1"/>
  <c r="K32" i="3"/>
  <c r="H23" i="3" s="1"/>
  <c r="Q24" i="3"/>
  <c r="N35" i="6"/>
  <c r="O35" i="6"/>
  <c r="O33" i="6"/>
  <c r="N33" i="6"/>
  <c r="H27" i="2"/>
  <c r="H36" i="2"/>
  <c r="H28" i="2"/>
  <c r="N38" i="2"/>
  <c r="T30" i="2" s="1"/>
  <c r="M9" i="2"/>
  <c r="H35" i="2"/>
  <c r="H33" i="2"/>
  <c r="N24" i="2"/>
  <c r="X26" i="2"/>
  <c r="H6" i="2"/>
  <c r="E24" i="2"/>
  <c r="G24" i="2" s="1"/>
  <c r="H24" i="2" s="1"/>
  <c r="L26" i="2"/>
  <c r="N26" i="2" s="1"/>
  <c r="H32" i="2"/>
  <c r="X25" i="2"/>
  <c r="L23" i="2"/>
  <c r="N23" i="2" s="1"/>
  <c r="O23" i="2" s="1"/>
  <c r="X24" i="2"/>
  <c r="Q26" i="2"/>
  <c r="S26" i="2" s="1"/>
  <c r="H31" i="2"/>
  <c r="H7" i="2"/>
  <c r="E25" i="2"/>
  <c r="G25" i="2" s="1"/>
  <c r="H25" i="2" s="1"/>
  <c r="N16" i="2"/>
  <c r="Q23" i="2"/>
  <c r="S23" i="2" s="1"/>
  <c r="H30" i="2"/>
  <c r="O10" i="6"/>
  <c r="N10" i="6"/>
  <c r="N6" i="6"/>
  <c r="O6" i="6"/>
  <c r="O23" i="6"/>
  <c r="O7" i="6"/>
  <c r="N7" i="6"/>
  <c r="O25" i="6"/>
  <c r="O22" i="6"/>
  <c r="O20" i="6"/>
  <c r="N5" i="6"/>
  <c r="O5" i="6"/>
  <c r="O21" i="6"/>
  <c r="O27" i="4"/>
  <c r="O28" i="4"/>
  <c r="Q25" i="3"/>
  <c r="Q23" i="3"/>
  <c r="G25" i="3"/>
  <c r="L25" i="3"/>
  <c r="T25" i="2"/>
  <c r="H27" i="3"/>
  <c r="H5" i="2"/>
  <c r="H8" i="2"/>
  <c r="L6" i="2"/>
  <c r="L8" i="2"/>
  <c r="O26" i="2" l="1"/>
  <c r="T26" i="2"/>
  <c r="O24" i="2"/>
  <c r="N5" i="2"/>
  <c r="M5" i="2"/>
  <c r="N7" i="2"/>
  <c r="M7" i="2"/>
  <c r="N6" i="2"/>
  <c r="M6" i="2"/>
  <c r="AB27" i="2"/>
  <c r="AC27" i="2"/>
  <c r="N8" i="2"/>
  <c r="M8" i="2"/>
  <c r="H26" i="3"/>
  <c r="M26" i="3"/>
  <c r="M25" i="3"/>
  <c r="T27" i="2"/>
  <c r="O27" i="2"/>
  <c r="O30" i="2"/>
  <c r="Y27" i="2"/>
  <c r="Y24" i="2"/>
  <c r="AA24" i="2" s="1"/>
  <c r="O28" i="2"/>
  <c r="T23" i="2"/>
  <c r="Z23" i="2" s="1"/>
  <c r="AB23" i="2" s="1"/>
  <c r="Y25" i="2"/>
  <c r="AA25" i="2" s="1"/>
  <c r="Y26" i="2"/>
  <c r="Z26" i="2" s="1"/>
  <c r="Y30" i="2"/>
  <c r="R23" i="3"/>
  <c r="M27" i="3"/>
  <c r="M28" i="3"/>
  <c r="R24" i="3"/>
  <c r="H28" i="3"/>
  <c r="R26" i="3"/>
  <c r="R25" i="3"/>
  <c r="M23" i="3"/>
  <c r="H25" i="3"/>
  <c r="M24" i="3"/>
  <c r="R27" i="3"/>
  <c r="H24" i="3"/>
  <c r="R28" i="3"/>
  <c r="T27" i="3" l="1"/>
  <c r="T25" i="3"/>
  <c r="T23" i="3"/>
  <c r="T26" i="3"/>
  <c r="AA26" i="2"/>
  <c r="T28" i="3"/>
  <c r="T24" i="3"/>
  <c r="Z24" i="2"/>
  <c r="AB26" i="2"/>
  <c r="AC26" i="2"/>
  <c r="AC23" i="2"/>
  <c r="S27" i="3"/>
  <c r="S26" i="3"/>
  <c r="S23" i="3"/>
  <c r="AA23" i="2"/>
  <c r="Z25" i="2"/>
  <c r="AA28" i="2"/>
  <c r="Z28" i="2"/>
  <c r="AA30" i="2"/>
  <c r="Z30" i="2"/>
  <c r="AA27" i="2"/>
  <c r="S25" i="3"/>
  <c r="S24" i="3"/>
  <c r="S28" i="3"/>
  <c r="AB24" i="2" l="1"/>
  <c r="AC24" i="2"/>
  <c r="AC28" i="2"/>
  <c r="AB28" i="2"/>
  <c r="AB25" i="2"/>
  <c r="AC25" i="2"/>
</calcChain>
</file>

<file path=xl/sharedStrings.xml><?xml version="1.0" encoding="utf-8"?>
<sst xmlns="http://schemas.openxmlformats.org/spreadsheetml/2006/main" count="415" uniqueCount="110">
  <si>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</si>
  <si>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</si>
  <si>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</si>
  <si>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</si>
  <si>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</si>
  <si>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</si>
  <si>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</si>
  <si>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</si>
  <si>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</si>
  <si>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</si>
  <si>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</si>
  <si>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</si>
  <si>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</si>
  <si>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experiment</t>
  </si>
  <si>
    <t>pellett</t>
  </si>
  <si>
    <t>supernat</t>
  </si>
  <si>
    <t>Abs</t>
  </si>
  <si>
    <t>conc (g/L)</t>
  </si>
  <si>
    <t>expected conc</t>
  </si>
  <si>
    <t>UPO 1:4</t>
  </si>
  <si>
    <t>isoprOH</t>
  </si>
  <si>
    <t>acetone</t>
  </si>
  <si>
    <t>acetonitrile</t>
  </si>
  <si>
    <t>EtOH</t>
  </si>
  <si>
    <t>NH4SO4</t>
  </si>
  <si>
    <t>ctr</t>
  </si>
  <si>
    <t>UPO 1:1000</t>
  </si>
  <si>
    <t>agent</t>
  </si>
  <si>
    <t>Abs slope</t>
  </si>
  <si>
    <t>extinction factor ABTS</t>
  </si>
  <si>
    <t>1/mMcm</t>
  </si>
  <si>
    <t>UPO conc in reaction (mg/L)</t>
  </si>
  <si>
    <t>conc per min [uM/min]</t>
  </si>
  <si>
    <t>activity UPO [umol/min/mg]</t>
  </si>
  <si>
    <t>recovered conc [%]</t>
  </si>
  <si>
    <t>recovered activity [%]</t>
  </si>
  <si>
    <t>UPO</t>
  </si>
  <si>
    <t>recovery concentration from CLEA</t>
  </si>
  <si>
    <t>recovery concentration from precipitation</t>
  </si>
  <si>
    <t>recoverd activiyz from precipitation</t>
  </si>
  <si>
    <t>wash</t>
  </si>
  <si>
    <t>recoverd activity from CLEA</t>
  </si>
  <si>
    <t>iso propanol</t>
  </si>
  <si>
    <t>ethanol</t>
  </si>
  <si>
    <t>ctrl pellet</t>
  </si>
  <si>
    <t>ctrl supernatant</t>
  </si>
  <si>
    <t>ammonium sulfate</t>
  </si>
  <si>
    <t>neg ctrl</t>
  </si>
  <si>
    <t>neg ctl</t>
  </si>
  <si>
    <t>Abs_1709</t>
  </si>
  <si>
    <t>Abs_1809</t>
  </si>
  <si>
    <t>SD</t>
  </si>
  <si>
    <t>average conc</t>
  </si>
  <si>
    <t>RT</t>
  </si>
  <si>
    <t>Abs slope 1</t>
  </si>
  <si>
    <t>Abs slope 2</t>
  </si>
  <si>
    <t>Abs slope 3</t>
  </si>
  <si>
    <t>Average activitz UPO</t>
  </si>
  <si>
    <t>ammunium sulfate</t>
  </si>
  <si>
    <t>4C isoprop</t>
  </si>
  <si>
    <t>30C isoprop</t>
  </si>
  <si>
    <t>40C isoprop</t>
  </si>
  <si>
    <t>SOLVENT SELECTION</t>
  </si>
  <si>
    <t xml:space="preserve">Isopropanol is selected as solvent as all show good results but isoprob is the least toxic </t>
  </si>
  <si>
    <t>4 C</t>
  </si>
  <si>
    <t xml:space="preserve">40 C </t>
  </si>
  <si>
    <t xml:space="preserve">30 C </t>
  </si>
  <si>
    <t>Influence temperature</t>
  </si>
  <si>
    <t>Influence pH</t>
  </si>
  <si>
    <t>pH 6</t>
  </si>
  <si>
    <t>pH 7</t>
  </si>
  <si>
    <t>pH 8</t>
  </si>
  <si>
    <t>pH 9</t>
  </si>
  <si>
    <t>no solvent</t>
  </si>
  <si>
    <t>no precipitation</t>
  </si>
  <si>
    <t>1 h</t>
  </si>
  <si>
    <t>2 h</t>
  </si>
  <si>
    <t>3 h</t>
  </si>
  <si>
    <t xml:space="preserve">4 h </t>
  </si>
  <si>
    <t>influence glutaraldehyde conc</t>
  </si>
  <si>
    <t>20 eq</t>
  </si>
  <si>
    <t>10 eq</t>
  </si>
  <si>
    <t>5 eq</t>
  </si>
  <si>
    <t>2 eq</t>
  </si>
  <si>
    <t>1 eq</t>
  </si>
  <si>
    <t>0.5 eq</t>
  </si>
  <si>
    <t>isoprop</t>
  </si>
  <si>
    <t>10uM</t>
  </si>
  <si>
    <t>20uM</t>
  </si>
  <si>
    <t>50uM</t>
  </si>
  <si>
    <t>5uM</t>
  </si>
  <si>
    <t>2uM</t>
  </si>
  <si>
    <t>1uM</t>
  </si>
  <si>
    <t>number</t>
  </si>
  <si>
    <t>date</t>
  </si>
  <si>
    <t>17_09</t>
  </si>
  <si>
    <t>21_09</t>
  </si>
  <si>
    <t>solvent</t>
  </si>
  <si>
    <t>iPrOH</t>
  </si>
  <si>
    <t>iPrOh</t>
  </si>
  <si>
    <t>pH</t>
  </si>
  <si>
    <t>glutaldehyde conc</t>
  </si>
  <si>
    <t>conc after precipitation (g/L)</t>
  </si>
  <si>
    <t>average</t>
  </si>
  <si>
    <t>std</t>
  </si>
  <si>
    <t>activity recovery after aggregation [%]</t>
  </si>
  <si>
    <t>Average Abs slope/mg protein (for isoprop)</t>
  </si>
  <si>
    <t>Average Abs slope/mg protein (w/o precip)</t>
  </si>
  <si>
    <t>Activity/min of 1 mg/L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</si>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</sst>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7">
    <xf numFmtId="0" fontId="0" fillId="0" borderId="0" xfId="0"/>
    <xf numFmtId="164" fontId="0" fillId="0" borderId="0" xfId="0" applyNumberFormat="1"/>
    <xf numFmtId="0" fontId="0" fillId="0" borderId="12" xfId="0" applyFill="1" applyBorder="1"/>
    <xf numFmtId="0" fontId="0" fillId="0" borderId="11" xfId="0" applyFill="1" applyBorder="1"/>
    <xf numFmtId="0" fontId="0" fillId="0" borderId="10" xfId="0" applyFill="1" applyBorder="1"/>
    <xf numFmtId="0" fontId="0" fillId="0" borderId="0" xfId="0" applyFill="1"/>
    <xf numFmtId="0" fontId="0" fillId="0" borderId="0" xfId="0"/>
    <xf numFmtId="0" fontId="0" fillId="33" borderId="0" xfId="0" applyFill="1"/>
    <xf numFmtId="0" fontId="0" fillId="34" borderId="0" xfId="0" applyFill="1"/>
    <xf numFmtId="164" fontId="0" fillId="34" borderId="0" xfId="0" applyNumberFormat="1" applyFill="1"/>
    <xf numFmtId="164" fontId="0" fillId="0" borderId="0" xfId="0" applyNumberFormat="1" applyFill="1"/>
    <xf numFmtId="164" fontId="14" fillId="0" borderId="0" xfId="0" applyNumberFormat="1" applyFont="1" applyFill="1"/>
    <xf numFmtId="164" fontId="0" fillId="0" borderId="0" xfId="0" applyNumberFormat="1" applyFont="1" applyFill="1"/>
    <xf numFmtId="0" fontId="0" fillId="0" borderId="0" xfId="0" applyFont="1" applyFill="1"/>
    <xf numFmtId="0" fontId="14" fillId="0" borderId="0" xfId="0" applyFont="1" applyFill="1"/>
    <xf numFmtId="165" fontId="0" fillId="0" borderId="0" xfId="0" applyNumberFormat="1"/>
    <xf numFmtId="165" fontId="0" fillId="34" borderId="0" xfId="0" applyNumberFormat="1" applyFill="1"/>
    <xf numFmtId="165" fontId="14" fillId="0" borderId="0" xfId="0" applyNumberFormat="1" applyFont="1" applyFill="1"/>
    <xf numFmtId="165" fontId="0" fillId="0" borderId="0" xfId="0" applyNumberFormat="1" applyFill="1"/>
    <xf numFmtId="165" fontId="0" fillId="0" borderId="0" xfId="0" applyNumberFormat="1" applyFont="1" applyFill="1"/>
    <xf numFmtId="0" fontId="0" fillId="34" borderId="0" xfId="0" applyFont="1" applyFill="1"/>
    <xf numFmtId="165" fontId="0" fillId="34" borderId="0" xfId="0" applyNumberFormat="1" applyFont="1" applyFill="1"/>
    <xf numFmtId="0" fontId="0" fillId="35" borderId="0" xfId="0" applyFill="1"/>
    <xf numFmtId="0" fontId="19" fillId="34" borderId="0" xfId="0" applyFont="1" applyFill="1"/>
    <xf numFmtId="164" fontId="19" fillId="34" borderId="0" xfId="0" applyNumberFormat="1" applyFont="1" applyFill="1"/>
    <xf numFmtId="0" fontId="19" fillId="0" borderId="0" xfId="0" applyFont="1" applyFill="1"/>
    <xf numFmtId="164" fontId="19" fillId="0" borderId="0" xfId="0" applyNumberFormat="1" applyFont="1" applyFill="1"/>
    <xf numFmtId="0" fontId="0" fillId="36" borderId="0" xfId="0" applyFill="1"/>
    <xf numFmtId="0" fontId="19" fillId="36" borderId="0" xfId="0" applyFont="1" applyFill="1"/>
    <xf numFmtId="164" fontId="19" fillId="36" borderId="0" xfId="0" applyNumberFormat="1" applyFont="1" applyFill="1"/>
    <xf numFmtId="165" fontId="0" fillId="36" borderId="0" xfId="0" applyNumberFormat="1" applyFill="1"/>
    <xf numFmtId="165" fontId="19" fillId="34" borderId="0" xfId="0" applyNumberFormat="1" applyFont="1" applyFill="1"/>
    <xf numFmtId="0" fontId="18" fillId="0" borderId="0" xfId="0" applyFont="1" applyFill="1" applyAlignment="1">
      <alignment horizontal="center" wrapText="1"/>
    </xf>
    <xf numFmtId="0" fontId="0" fillId="36" borderId="13" xfId="0" applyFill="1" applyBorder="1"/>
    <xf numFmtId="0" fontId="0" fillId="36" borderId="14" xfId="0" applyFill="1" applyBorder="1"/>
    <xf numFmtId="0" fontId="0" fillId="36" borderId="15" xfId="0" applyFill="1" applyBorder="1"/>
    <xf numFmtId="0" fontId="19" fillId="36" borderId="16" xfId="0" applyFont="1" applyFill="1" applyBorder="1"/>
    <xf numFmtId="0" fontId="19" fillId="36" borderId="0" xfId="0" applyFont="1" applyFill="1" applyBorder="1"/>
    <xf numFmtId="165" fontId="19" fillId="36" borderId="17" xfId="0" applyNumberFormat="1" applyFont="1" applyFill="1" applyBorder="1"/>
    <xf numFmtId="0" fontId="19" fillId="36" borderId="18" xfId="0" applyFont="1" applyFill="1" applyBorder="1"/>
    <xf numFmtId="0" fontId="19" fillId="36" borderId="19" xfId="0" applyFont="1" applyFill="1" applyBorder="1"/>
    <xf numFmtId="165" fontId="19" fillId="36" borderId="20" xfId="0" applyNumberFormat="1" applyFont="1" applyFill="1" applyBorder="1"/>
    <xf numFmtId="165" fontId="19" fillId="36" borderId="0" xfId="0" applyNumberFormat="1" applyFont="1" applyFill="1" applyBorder="1"/>
    <xf numFmtId="165" fontId="19" fillId="36" borderId="19" xfId="0" applyNumberFormat="1" applyFont="1" applyFill="1" applyBorder="1"/>
    <xf numFmtId="0" fontId="18" fillId="0" borderId="0" xfId="0" applyFont="1" applyFill="1" applyAlignment="1">
      <alignment horizontal="center" wrapText="1"/>
    </xf>
    <xf numFmtId="165" fontId="19" fillId="0" borderId="0" xfId="0" applyNumberFormat="1" applyFont="1" applyFill="1"/>
    <xf numFmtId="164" fontId="19" fillId="0" borderId="0" xfId="0" applyNumberFormat="1" applyFont="1" applyFill="1" applyBorder="1"/>
    <xf numFmtId="0" fontId="0" fillId="0" borderId="0" xfId="0" applyFill="1" applyBorder="1"/>
    <xf numFmtId="0" fontId="19" fillId="0" borderId="0" xfId="0" applyFont="1" applyFill="1" applyBorder="1"/>
    <xf numFmtId="165" fontId="19" fillId="0" borderId="0" xfId="0" applyNumberFormat="1" applyFont="1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19" fillId="0" borderId="16" xfId="0" applyFont="1" applyFill="1" applyBorder="1"/>
    <xf numFmtId="165" fontId="19" fillId="0" borderId="17" xfId="0" applyNumberFormat="1" applyFont="1" applyFill="1" applyBorder="1"/>
    <xf numFmtId="0" fontId="19" fillId="0" borderId="18" xfId="0" applyFont="1" applyFill="1" applyBorder="1"/>
    <xf numFmtId="0" fontId="19" fillId="0" borderId="19" xfId="0" applyFont="1" applyFill="1" applyBorder="1"/>
    <xf numFmtId="165" fontId="19" fillId="0" borderId="19" xfId="0" applyNumberFormat="1" applyFont="1" applyFill="1" applyBorder="1"/>
    <xf numFmtId="165" fontId="19" fillId="0" borderId="20" xfId="0" applyNumberFormat="1" applyFont="1" applyFill="1" applyBorder="1"/>
    <xf numFmtId="0" fontId="0" fillId="0" borderId="0" xfId="0" applyBorder="1"/>
    <xf numFmtId="0" fontId="0" fillId="33" borderId="0" xfId="0" applyFill="1" applyBorder="1"/>
    <xf numFmtId="0" fontId="18" fillId="0" borderId="0" xfId="0" applyFont="1" applyFill="1" applyBorder="1" applyAlignment="1">
      <alignment horizontal="center" wrapText="1"/>
    </xf>
    <xf numFmtId="0" fontId="0" fillId="0" borderId="0" xfId="0" applyAlignment="1">
      <alignment horizontal="right"/>
    </xf>
    <xf numFmtId="166" fontId="0" fillId="0" borderId="0" xfId="0" applyNumberFormat="1" applyFill="1"/>
    <xf numFmtId="2" fontId="0" fillId="0" borderId="0" xfId="0" applyNumberFormat="1"/>
    <xf numFmtId="0" fontId="0" fillId="35" borderId="0" xfId="0" applyFill="1" applyAlignment="1">
      <alignment horizontal="left"/>
    </xf>
    <xf numFmtId="0" fontId="18" fillId="0" borderId="0" xfId="0" applyFont="1" applyFill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CLEA formation - influence solvent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recovered concentration after</a:t>
            </a:r>
            <a:r>
              <a:rPr lang="en-US" baseline="0"/>
              <a:t> precipitation, n=2 (17/09 &amp; 18/09)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average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(solvent!$N$16,solvent!$N$5:$N$9)</c:f>
                <c:numCache>
                  <c:formatCode>General</c:formatCode>
                  <c:ptCount val="6"/>
                  <c:pt idx="0">
                    <c:v>2.4360391194901942</c:v>
                  </c:pt>
                  <c:pt idx="1">
                    <c:v>2.2503321014124835</c:v>
                  </c:pt>
                  <c:pt idx="2">
                    <c:v>1.332720953263689</c:v>
                  </c:pt>
                  <c:pt idx="3">
                    <c:v>14.714550197099864</c:v>
                  </c:pt>
                  <c:pt idx="4">
                    <c:v>4.6972951631425364</c:v>
                  </c:pt>
                  <c:pt idx="5">
                    <c:v>0</c:v>
                  </c:pt>
                </c:numCache>
              </c:numRef>
            </c:plus>
            <c:minus>
              <c:numRef>
                <c:f>(solvent!$N$16,solvent!$N$5:$N$9)</c:f>
                <c:numCache>
                  <c:formatCode>General</c:formatCode>
                  <c:ptCount val="6"/>
                  <c:pt idx="0">
                    <c:v>2.4360391194901942</c:v>
                  </c:pt>
                  <c:pt idx="1">
                    <c:v>2.2503321014124835</c:v>
                  </c:pt>
                  <c:pt idx="2">
                    <c:v>1.332720953263689</c:v>
                  </c:pt>
                  <c:pt idx="3">
                    <c:v>14.714550197099864</c:v>
                  </c:pt>
                  <c:pt idx="4">
                    <c:v>4.6972951631425364</c:v>
                  </c:pt>
                  <c:pt idx="5">
                    <c:v>0</c:v>
                  </c:pt>
                </c:numCache>
              </c:numRef>
            </c:minus>
          </c:errBars>
          <c:cat>
            <c:strRef>
              <c:f>(solvent!$D$16,solvent!$D$5:$D$9)</c:f>
              <c:strCache>
                <c:ptCount val="6"/>
                <c:pt idx="0">
                  <c:v>neg ctrl</c:v>
                </c:pt>
                <c:pt idx="1">
                  <c:v>iso propanol</c:v>
                </c:pt>
                <c:pt idx="2">
                  <c:v>acetone</c:v>
                </c:pt>
                <c:pt idx="3">
                  <c:v>acetonitrile</c:v>
                </c:pt>
                <c:pt idx="4">
                  <c:v>ethanol</c:v>
                </c:pt>
                <c:pt idx="5">
                  <c:v>ammonium sulfate</c:v>
                </c:pt>
              </c:strCache>
            </c:strRef>
          </c:cat>
          <c:val>
            <c:numRef>
              <c:f>(solvent!$M$16,solvent!$M$5:$M$9)</c:f>
              <c:numCache>
                <c:formatCode>0.000</c:formatCode>
                <c:ptCount val="6"/>
                <c:pt idx="0">
                  <c:v>106.92105669704927</c:v>
                </c:pt>
                <c:pt idx="1">
                  <c:v>94.322570678201757</c:v>
                </c:pt>
                <c:pt idx="2">
                  <c:v>88.830526803645895</c:v>
                </c:pt>
                <c:pt idx="3">
                  <c:v>86.945774756681601</c:v>
                </c:pt>
                <c:pt idx="4">
                  <c:v>90.112776147072452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CB-4A37-A745-212E8B251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8551151"/>
        <c:axId val="1328553647"/>
      </c:barChart>
      <c:catAx>
        <c:axId val="1328551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553647"/>
        <c:crosses val="autoZero"/>
        <c:auto val="1"/>
        <c:lblAlgn val="ctr"/>
        <c:lblOffset val="100"/>
        <c:noMultiLvlLbl val="0"/>
      </c:catAx>
      <c:valAx>
        <c:axId val="1328553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recovered</a:t>
                </a:r>
                <a:r>
                  <a:rPr lang="de-CH" baseline="0"/>
                  <a:t> conc [%]</a:t>
                </a:r>
                <a:endParaRPr lang="de-CH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551151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CLEA formation - influence solvent</a:t>
            </a:r>
          </a:p>
          <a:p>
            <a:pPr>
              <a:defRPr/>
            </a:pPr>
            <a:r>
              <a:rPr lang="en-US"/>
              <a:t>average recovered activity after precipitation, n=4 (17/09 &amp; 18/09)</a:t>
            </a:r>
          </a:p>
        </c:rich>
      </c:tx>
      <c:layout>
        <c:manualLayout>
          <c:xMode val="edge"/>
          <c:yMode val="edge"/>
          <c:x val="0.22033740546829553"/>
          <c:y val="3.13725490196078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(solvent!$AC$28,solvent!$AC$23:$AC$27)</c:f>
                <c:numCache>
                  <c:formatCode>General</c:formatCode>
                  <c:ptCount val="6"/>
                  <c:pt idx="0">
                    <c:v>10.11685450182893</c:v>
                  </c:pt>
                  <c:pt idx="1">
                    <c:v>5.0757837062206725</c:v>
                  </c:pt>
                  <c:pt idx="2">
                    <c:v>9.7908217233958243</c:v>
                  </c:pt>
                  <c:pt idx="3">
                    <c:v>13.098303897249219</c:v>
                  </c:pt>
                  <c:pt idx="4">
                    <c:v>7.4663382805256591</c:v>
                  </c:pt>
                  <c:pt idx="5">
                    <c:v>0</c:v>
                  </c:pt>
                </c:numCache>
              </c:numRef>
            </c:plus>
            <c:minus>
              <c:numRef>
                <c:f>(solvent!$AC$28,solvent!$AC$23:$AC$27)</c:f>
                <c:numCache>
                  <c:formatCode>General</c:formatCode>
                  <c:ptCount val="6"/>
                  <c:pt idx="0">
                    <c:v>10.11685450182893</c:v>
                  </c:pt>
                  <c:pt idx="1">
                    <c:v>5.0757837062206725</c:v>
                  </c:pt>
                  <c:pt idx="2">
                    <c:v>9.7908217233958243</c:v>
                  </c:pt>
                  <c:pt idx="3">
                    <c:v>13.098303897249219</c:v>
                  </c:pt>
                  <c:pt idx="4">
                    <c:v>7.4663382805256591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(solvent!$J$28,solvent!$J$23:$J$27)</c:f>
              <c:strCache>
                <c:ptCount val="6"/>
                <c:pt idx="0">
                  <c:v>neg ctrl</c:v>
                </c:pt>
                <c:pt idx="1">
                  <c:v>iso propanol</c:v>
                </c:pt>
                <c:pt idx="2">
                  <c:v>acetone</c:v>
                </c:pt>
                <c:pt idx="3">
                  <c:v>acetonitrile</c:v>
                </c:pt>
                <c:pt idx="4">
                  <c:v>ethanol</c:v>
                </c:pt>
                <c:pt idx="5">
                  <c:v>ammunium sulfate</c:v>
                </c:pt>
              </c:strCache>
            </c:strRef>
          </c:cat>
          <c:val>
            <c:numRef>
              <c:f>(solvent!$AB$28,solvent!$AB$23:$AB$27)</c:f>
              <c:numCache>
                <c:formatCode>0.000</c:formatCode>
                <c:ptCount val="6"/>
                <c:pt idx="0">
                  <c:v>83.517473717489509</c:v>
                </c:pt>
                <c:pt idx="1">
                  <c:v>90.005419766992731</c:v>
                </c:pt>
                <c:pt idx="2">
                  <c:v>80.893888339562352</c:v>
                </c:pt>
                <c:pt idx="3">
                  <c:v>95.598926262421202</c:v>
                </c:pt>
                <c:pt idx="4">
                  <c:v>76.624813036560028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A2-44B2-A65C-8664D5694B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8551151"/>
        <c:axId val="1328553647"/>
      </c:barChart>
      <c:catAx>
        <c:axId val="1328551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553647"/>
        <c:crosses val="autoZero"/>
        <c:auto val="1"/>
        <c:lblAlgn val="ctr"/>
        <c:lblOffset val="100"/>
        <c:noMultiLvlLbl val="0"/>
      </c:catAx>
      <c:valAx>
        <c:axId val="1328553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recovered</a:t>
                </a:r>
                <a:r>
                  <a:rPr lang="de-CH" baseline="0"/>
                  <a:t> activity [%]</a:t>
                </a:r>
                <a:endParaRPr lang="de-CH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5511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CLEA activity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(solvent!$C$65,solvent!$C$60:$C$64)</c:f>
              <c:strCache>
                <c:ptCount val="6"/>
                <c:pt idx="0">
                  <c:v>ctrl supernatant</c:v>
                </c:pt>
                <c:pt idx="1">
                  <c:v>iso propanol</c:v>
                </c:pt>
                <c:pt idx="2">
                  <c:v>acetone</c:v>
                </c:pt>
                <c:pt idx="3">
                  <c:v>acetonitrile</c:v>
                </c:pt>
                <c:pt idx="4">
                  <c:v>ethanol</c:v>
                </c:pt>
                <c:pt idx="5">
                  <c:v>ammonium sulfate</c:v>
                </c:pt>
              </c:strCache>
            </c:strRef>
          </c:cat>
          <c:val>
            <c:numRef>
              <c:f>(solvent!$H$65,solvent!$H$60:$H$64)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2D-4075-AC66-799F339C2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8551151"/>
        <c:axId val="1328553647"/>
      </c:barChart>
      <c:catAx>
        <c:axId val="1328551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553647"/>
        <c:crosses val="autoZero"/>
        <c:auto val="1"/>
        <c:lblAlgn val="ctr"/>
        <c:lblOffset val="100"/>
        <c:noMultiLvlLbl val="0"/>
      </c:catAx>
      <c:valAx>
        <c:axId val="1328553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recovered</a:t>
                </a:r>
                <a:r>
                  <a:rPr lang="de-CH" baseline="0"/>
                  <a:t> activity [%]</a:t>
                </a:r>
                <a:endParaRPr lang="de-CH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5511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CLEA formation - influence temperature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recovered concentration after</a:t>
            </a:r>
            <a:r>
              <a:rPr lang="en-US" baseline="0"/>
              <a:t> precipitation, n=1 (18/09)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average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(temperature!$B$6,temperature!$A$7:$A$10)</c:f>
              <c:strCache>
                <c:ptCount val="5"/>
                <c:pt idx="0">
                  <c:v>neg ctrl</c:v>
                </c:pt>
                <c:pt idx="1">
                  <c:v>4 C</c:v>
                </c:pt>
                <c:pt idx="2">
                  <c:v>RT</c:v>
                </c:pt>
                <c:pt idx="3">
                  <c:v>30 C </c:v>
                </c:pt>
                <c:pt idx="4">
                  <c:v>40 C </c:v>
                </c:pt>
              </c:strCache>
            </c:strRef>
          </c:cat>
          <c:val>
            <c:numRef>
              <c:f>temperature!$G$6:$G$10</c:f>
              <c:numCache>
                <c:formatCode>0.0</c:formatCode>
                <c:ptCount val="5"/>
                <c:pt idx="0">
                  <c:v>108.6435964776765</c:v>
                </c:pt>
                <c:pt idx="1">
                  <c:v>86.327823265873633</c:v>
                </c:pt>
                <c:pt idx="2">
                  <c:v>95.913795767032298</c:v>
                </c:pt>
                <c:pt idx="3">
                  <c:v>85.478139966012677</c:v>
                </c:pt>
                <c:pt idx="4">
                  <c:v>87.841804418353149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9-4525-8AE6-E8596C476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8551151"/>
        <c:axId val="1328553647"/>
      </c:barChart>
      <c:catAx>
        <c:axId val="1328551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553647"/>
        <c:crosses val="autoZero"/>
        <c:auto val="1"/>
        <c:lblAlgn val="ctr"/>
        <c:lblOffset val="100"/>
        <c:noMultiLvlLbl val="0"/>
      </c:catAx>
      <c:valAx>
        <c:axId val="1328553647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recovered</a:t>
                </a:r>
                <a:r>
                  <a:rPr lang="de-CH" baseline="0"/>
                  <a:t> conc [%]</a:t>
                </a:r>
                <a:endParaRPr lang="de-CH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551151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CLEA formation - influence temperature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recovered activity after</a:t>
            </a:r>
            <a:r>
              <a:rPr lang="en-US" baseline="0"/>
              <a:t> precipitation, n=3 (18/09)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average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temperature!$T$23:$T$27</c:f>
                <c:numCache>
                  <c:formatCode>General</c:formatCode>
                  <c:ptCount val="5"/>
                  <c:pt idx="0">
                    <c:v>4.4614051195657316</c:v>
                  </c:pt>
                  <c:pt idx="1">
                    <c:v>7.7850813841823925</c:v>
                  </c:pt>
                  <c:pt idx="2">
                    <c:v>2.8589941076694427</c:v>
                  </c:pt>
                  <c:pt idx="3">
                    <c:v>17.488941718751143</c:v>
                  </c:pt>
                  <c:pt idx="4">
                    <c:v>6.9441132370021119</c:v>
                  </c:pt>
                </c:numCache>
              </c:numRef>
            </c:plus>
            <c:minus>
              <c:numRef>
                <c:f>temperature!$T$23:$T$27</c:f>
                <c:numCache>
                  <c:formatCode>General</c:formatCode>
                  <c:ptCount val="5"/>
                  <c:pt idx="0">
                    <c:v>4.4614051195657316</c:v>
                  </c:pt>
                  <c:pt idx="1">
                    <c:v>7.7850813841823925</c:v>
                  </c:pt>
                  <c:pt idx="2">
                    <c:v>2.8589941076694427</c:v>
                  </c:pt>
                  <c:pt idx="3">
                    <c:v>17.488941718751143</c:v>
                  </c:pt>
                  <c:pt idx="4">
                    <c:v>6.9441132370021119</c:v>
                  </c:pt>
                </c:numCache>
              </c:numRef>
            </c:minus>
          </c:errBars>
          <c:cat>
            <c:strRef>
              <c:f>(temperature!$B$6,temperature!$A$7:$A$10)</c:f>
              <c:strCache>
                <c:ptCount val="5"/>
                <c:pt idx="0">
                  <c:v>neg ctrl</c:v>
                </c:pt>
                <c:pt idx="1">
                  <c:v>4 C</c:v>
                </c:pt>
                <c:pt idx="2">
                  <c:v>RT</c:v>
                </c:pt>
                <c:pt idx="3">
                  <c:v>30 C </c:v>
                </c:pt>
                <c:pt idx="4">
                  <c:v>40 C </c:v>
                </c:pt>
              </c:strCache>
            </c:strRef>
          </c:cat>
          <c:val>
            <c:numRef>
              <c:f>temperature!$S$23:$S$27</c:f>
              <c:numCache>
                <c:formatCode>0.000</c:formatCode>
                <c:ptCount val="5"/>
                <c:pt idx="0">
                  <c:v>90.671170140010403</c:v>
                </c:pt>
                <c:pt idx="1">
                  <c:v>101.20076489126622</c:v>
                </c:pt>
                <c:pt idx="2">
                  <c:v>93.594540845497548</c:v>
                </c:pt>
                <c:pt idx="3">
                  <c:v>103.70846825647931</c:v>
                </c:pt>
                <c:pt idx="4">
                  <c:v>82.147982775363559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45-49FC-B422-DB0F1611B1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8551151"/>
        <c:axId val="1328553647"/>
      </c:barChart>
      <c:catAx>
        <c:axId val="1328551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553647"/>
        <c:crosses val="autoZero"/>
        <c:auto val="1"/>
        <c:lblAlgn val="ctr"/>
        <c:lblOffset val="100"/>
        <c:noMultiLvlLbl val="0"/>
      </c:catAx>
      <c:valAx>
        <c:axId val="1328553647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recovered</a:t>
                </a:r>
                <a:r>
                  <a:rPr lang="de-CH" baseline="0"/>
                  <a:t> activity [%]</a:t>
                </a:r>
                <a:endParaRPr lang="de-CH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551151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CLEA formation - influence pH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recovered concentration after</a:t>
            </a:r>
            <a:r>
              <a:rPr lang="en-US" baseline="0"/>
              <a:t> precipitation, n=1 (21/09)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average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pH!$A$6:$A$10</c:f>
              <c:strCache>
                <c:ptCount val="5"/>
                <c:pt idx="0">
                  <c:v>neg ctrl</c:v>
                </c:pt>
                <c:pt idx="1">
                  <c:v>pH 6</c:v>
                </c:pt>
                <c:pt idx="2">
                  <c:v>pH 7</c:v>
                </c:pt>
                <c:pt idx="3">
                  <c:v>pH 8</c:v>
                </c:pt>
                <c:pt idx="4">
                  <c:v>pH 9</c:v>
                </c:pt>
              </c:strCache>
            </c:strRef>
          </c:cat>
          <c:val>
            <c:numRef>
              <c:f>pH!$G$6:$G$10</c:f>
              <c:numCache>
                <c:formatCode>0.0</c:formatCode>
                <c:ptCount val="5"/>
                <c:pt idx="0">
                  <c:v>127.52973891549513</c:v>
                </c:pt>
                <c:pt idx="1">
                  <c:v>89.100880580874403</c:v>
                </c:pt>
                <c:pt idx="2">
                  <c:v>92.430094237602347</c:v>
                </c:pt>
                <c:pt idx="3">
                  <c:v>85.46269117874246</c:v>
                </c:pt>
                <c:pt idx="4">
                  <c:v>86.435964776765033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7D-4A78-85E3-547A5C4F4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8551151"/>
        <c:axId val="1328553647"/>
      </c:barChart>
      <c:catAx>
        <c:axId val="1328551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553647"/>
        <c:crosses val="autoZero"/>
        <c:auto val="1"/>
        <c:lblAlgn val="ctr"/>
        <c:lblOffset val="100"/>
        <c:noMultiLvlLbl val="0"/>
      </c:catAx>
      <c:valAx>
        <c:axId val="1328553647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recovered</a:t>
                </a:r>
                <a:r>
                  <a:rPr lang="de-CH" baseline="0"/>
                  <a:t> conc [%]</a:t>
                </a:r>
                <a:endParaRPr lang="de-CH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551151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CLEA formation - influence pH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recovered activity after</a:t>
            </a:r>
            <a:r>
              <a:rPr lang="en-US" baseline="0"/>
              <a:t> precipitation, n=2 (21/09)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average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pH!$O$23:$O$27</c:f>
                <c:numCache>
                  <c:formatCode>General</c:formatCode>
                  <c:ptCount val="5"/>
                  <c:pt idx="0">
                    <c:v>7.5357342025557559</c:v>
                  </c:pt>
                  <c:pt idx="1">
                    <c:v>0.42464041886962289</c:v>
                  </c:pt>
                  <c:pt idx="2">
                    <c:v>7.6752265246238185</c:v>
                  </c:pt>
                  <c:pt idx="3">
                    <c:v>2.3021313814749331</c:v>
                  </c:pt>
                  <c:pt idx="4">
                    <c:v>6.9380609134790792</c:v>
                  </c:pt>
                </c:numCache>
              </c:numRef>
            </c:plus>
            <c:minus>
              <c:numRef>
                <c:f>pH!$O$23:$O$27</c:f>
                <c:numCache>
                  <c:formatCode>General</c:formatCode>
                  <c:ptCount val="5"/>
                  <c:pt idx="0">
                    <c:v>7.5357342025557559</c:v>
                  </c:pt>
                  <c:pt idx="1">
                    <c:v>0.42464041886962289</c:v>
                  </c:pt>
                  <c:pt idx="2">
                    <c:v>7.6752265246238185</c:v>
                  </c:pt>
                  <c:pt idx="3">
                    <c:v>2.3021313814749331</c:v>
                  </c:pt>
                  <c:pt idx="4">
                    <c:v>6.9380609134790792</c:v>
                  </c:pt>
                </c:numCache>
              </c:numRef>
            </c:minus>
          </c:errBars>
          <c:cat>
            <c:strRef>
              <c:f>pH!$B$23:$B$27</c:f>
              <c:strCache>
                <c:ptCount val="5"/>
                <c:pt idx="0">
                  <c:v>neg ctrl</c:v>
                </c:pt>
                <c:pt idx="1">
                  <c:v>pH 6</c:v>
                </c:pt>
                <c:pt idx="2">
                  <c:v>pH 7</c:v>
                </c:pt>
                <c:pt idx="3">
                  <c:v>pH 8</c:v>
                </c:pt>
                <c:pt idx="4">
                  <c:v>pH 9</c:v>
                </c:pt>
              </c:strCache>
            </c:strRef>
          </c:cat>
          <c:val>
            <c:numRef>
              <c:f>pH!$N$23:$N$27</c:f>
              <c:numCache>
                <c:formatCode>0.000</c:formatCode>
                <c:ptCount val="5"/>
                <c:pt idx="0">
                  <c:v>74.830727370491218</c:v>
                </c:pt>
                <c:pt idx="1">
                  <c:v>92.812257614297039</c:v>
                </c:pt>
                <c:pt idx="2">
                  <c:v>81.639631575400657</c:v>
                </c:pt>
                <c:pt idx="3">
                  <c:v>75.507321903617836</c:v>
                </c:pt>
                <c:pt idx="4">
                  <c:v>53.346401813726835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12-4F68-80B2-BF0A28EF0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8551151"/>
        <c:axId val="1328553647"/>
      </c:barChart>
      <c:catAx>
        <c:axId val="1328551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553647"/>
        <c:crosses val="autoZero"/>
        <c:auto val="1"/>
        <c:lblAlgn val="ctr"/>
        <c:lblOffset val="100"/>
        <c:noMultiLvlLbl val="0"/>
      </c:catAx>
      <c:valAx>
        <c:axId val="1328553647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recovered</a:t>
                </a:r>
                <a:r>
                  <a:rPr lang="de-CH" baseline="0"/>
                  <a:t> activity [%]</a:t>
                </a:r>
                <a:endParaRPr lang="de-CH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551151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CLEA formation without</a:t>
            </a:r>
            <a:r>
              <a:rPr lang="en-US" baseline="0"/>
              <a:t> precipitation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recovered activity at different pH</a:t>
            </a:r>
            <a:r>
              <a:rPr lang="en-US" baseline="0"/>
              <a:t>, n=2 (21/09)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126215210099739"/>
          <c:y val="0.32655211912943871"/>
          <c:w val="0.860103553013714"/>
          <c:h val="0.56715570347520994"/>
        </c:manualLayout>
      </c:layout>
      <c:barChart>
        <c:barDir val="col"/>
        <c:grouping val="clustered"/>
        <c:varyColors val="0"/>
        <c:ser>
          <c:idx val="1"/>
          <c:order val="0"/>
          <c:tx>
            <c:v>pH 6</c:v>
          </c:tx>
          <c:invertIfNegative val="0"/>
          <c:errBars>
            <c:errBarType val="both"/>
            <c:errValType val="cust"/>
            <c:noEndCap val="0"/>
            <c:plus>
              <c:numRef>
                <c:f>('no precipitation'!$O$11,'no precipitation'!$O$5:$O$8)</c:f>
                <c:numCache>
                  <c:formatCode>General</c:formatCode>
                  <c:ptCount val="5"/>
                  <c:pt idx="1">
                    <c:v>2.0431351035818546</c:v>
                  </c:pt>
                  <c:pt idx="2">
                    <c:v>3.4998147607652252</c:v>
                  </c:pt>
                  <c:pt idx="3">
                    <c:v>4.8808227474455634</c:v>
                  </c:pt>
                  <c:pt idx="4">
                    <c:v>5.0889198413288934</c:v>
                  </c:pt>
                </c:numCache>
              </c:numRef>
            </c:plus>
            <c:minus>
              <c:numRef>
                <c:f>('no precipitation'!$O$11,'no precipitation'!$O$5:$O$8)</c:f>
                <c:numCache>
                  <c:formatCode>General</c:formatCode>
                  <c:ptCount val="5"/>
                  <c:pt idx="1">
                    <c:v>2.0431351035818546</c:v>
                  </c:pt>
                  <c:pt idx="2">
                    <c:v>3.4998147607652252</c:v>
                  </c:pt>
                  <c:pt idx="3">
                    <c:v>4.8808227474455634</c:v>
                  </c:pt>
                  <c:pt idx="4">
                    <c:v>5.0889198413288934</c:v>
                  </c:pt>
                </c:numCache>
              </c:numRef>
            </c:minus>
          </c:errBars>
          <c:val>
            <c:numRef>
              <c:f>('no precipitation'!$N$11,'no precipitation'!$N$5:$N$8)</c:f>
              <c:numCache>
                <c:formatCode>0.000</c:formatCode>
                <c:ptCount val="5"/>
                <c:pt idx="1">
                  <c:v>68.677455565949487</c:v>
                </c:pt>
                <c:pt idx="2">
                  <c:v>71.90130963517305</c:v>
                </c:pt>
                <c:pt idx="3">
                  <c:v>76.810664172123467</c:v>
                </c:pt>
                <c:pt idx="4">
                  <c:v>69.653975678203921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B2E-4007-A811-CD81F6E9BFA8}"/>
            </c:ext>
          </c:extLst>
        </c:ser>
        <c:ser>
          <c:idx val="0"/>
          <c:order val="1"/>
          <c:tx>
            <c:v>pH7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('no precipitation'!$O$25,'no precipitation'!$O$20:$O$23)</c:f>
                <c:numCache>
                  <c:formatCode>General</c:formatCode>
                  <c:ptCount val="5"/>
                  <c:pt idx="0">
                    <c:v>14.472868449356131</c:v>
                  </c:pt>
                  <c:pt idx="1">
                    <c:v>2.7809338909864141</c:v>
                  </c:pt>
                  <c:pt idx="2">
                    <c:v>2.6485084676061366</c:v>
                  </c:pt>
                  <c:pt idx="3">
                    <c:v>2.2133963622136883</c:v>
                  </c:pt>
                  <c:pt idx="4">
                    <c:v>1.3999259043060961</c:v>
                  </c:pt>
                </c:numCache>
              </c:numRef>
            </c:plus>
            <c:minus>
              <c:numRef>
                <c:f>('no precipitation'!$O$25,'no precipitation'!$O$20:$O$23)</c:f>
                <c:numCache>
                  <c:formatCode>General</c:formatCode>
                  <c:ptCount val="5"/>
                  <c:pt idx="0">
                    <c:v>14.472868449356131</c:v>
                  </c:pt>
                  <c:pt idx="1">
                    <c:v>2.7809338909864141</c:v>
                  </c:pt>
                  <c:pt idx="2">
                    <c:v>2.6485084676061366</c:v>
                  </c:pt>
                  <c:pt idx="3">
                    <c:v>2.2133963622136883</c:v>
                  </c:pt>
                  <c:pt idx="4">
                    <c:v>1.3999259043060961</c:v>
                  </c:pt>
                </c:numCache>
              </c:numRef>
            </c:minus>
          </c:errBars>
          <c:cat>
            <c:strRef>
              <c:f>('no precipitation'!$B$10,'no precipitation'!$B$5:$B$8)</c:f>
              <c:strCache>
                <c:ptCount val="5"/>
                <c:pt idx="0">
                  <c:v>neg ctrl</c:v>
                </c:pt>
                <c:pt idx="1">
                  <c:v>1 h</c:v>
                </c:pt>
                <c:pt idx="2">
                  <c:v>2 h</c:v>
                </c:pt>
                <c:pt idx="3">
                  <c:v>3 h</c:v>
                </c:pt>
                <c:pt idx="4">
                  <c:v>4 h </c:v>
                </c:pt>
              </c:strCache>
            </c:strRef>
          </c:cat>
          <c:val>
            <c:numRef>
              <c:f>('no precipitation'!$N$25,'no precipitation'!$N$20:$N$23)</c:f>
              <c:numCache>
                <c:formatCode>0.000</c:formatCode>
                <c:ptCount val="5"/>
                <c:pt idx="0">
                  <c:v>100</c:v>
                </c:pt>
                <c:pt idx="1">
                  <c:v>70.00177736202059</c:v>
                </c:pt>
                <c:pt idx="2">
                  <c:v>66.563891487371365</c:v>
                </c:pt>
                <c:pt idx="3">
                  <c:v>72.222357343311501</c:v>
                </c:pt>
                <c:pt idx="4">
                  <c:v>65.413470533208596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2E-4007-A811-CD81F6E9BFA8}"/>
            </c:ext>
          </c:extLst>
        </c:ser>
        <c:ser>
          <c:idx val="2"/>
          <c:order val="2"/>
          <c:tx>
            <c:v>pH 8</c:v>
          </c:tx>
          <c:invertIfNegative val="0"/>
          <c:errBars>
            <c:errBarType val="both"/>
            <c:errValType val="cust"/>
            <c:noEndCap val="0"/>
            <c:plus>
              <c:numRef>
                <c:f>('no precipitation'!$O$39,'no precipitation'!$O$33:$O$36)</c:f>
                <c:numCache>
                  <c:formatCode>General</c:formatCode>
                  <c:ptCount val="5"/>
                  <c:pt idx="1">
                    <c:v>4.5781360654334318</c:v>
                  </c:pt>
                  <c:pt idx="2">
                    <c:v>0.30268668201212606</c:v>
                  </c:pt>
                  <c:pt idx="3">
                    <c:v>0.83238837553334033</c:v>
                  </c:pt>
                  <c:pt idx="4">
                    <c:v>2.6106726323546003</c:v>
                  </c:pt>
                </c:numCache>
              </c:numRef>
            </c:plus>
            <c:minus>
              <c:numRef>
                <c:f>('no precipitation'!$O$39,'no precipitation'!$O$33:$O$36)</c:f>
                <c:numCache>
                  <c:formatCode>General</c:formatCode>
                  <c:ptCount val="5"/>
                  <c:pt idx="1">
                    <c:v>4.5781360654334318</c:v>
                  </c:pt>
                  <c:pt idx="2">
                    <c:v>0.30268668201212606</c:v>
                  </c:pt>
                  <c:pt idx="3">
                    <c:v>0.83238837553334033</c:v>
                  </c:pt>
                  <c:pt idx="4">
                    <c:v>2.6106726323546003</c:v>
                  </c:pt>
                </c:numCache>
              </c:numRef>
            </c:minus>
          </c:errBars>
          <c:val>
            <c:numRef>
              <c:f>('no precipitation'!$N$39,'no precipitation'!$N$33:$N$36)</c:f>
              <c:numCache>
                <c:formatCode>0.000</c:formatCode>
                <c:ptCount val="5"/>
                <c:pt idx="1">
                  <c:v>58.163143124415335</c:v>
                </c:pt>
                <c:pt idx="2">
                  <c:v>62.818334892422826</c:v>
                </c:pt>
                <c:pt idx="3">
                  <c:v>65.520486435921413</c:v>
                </c:pt>
                <c:pt idx="4">
                  <c:v>74.215528531337696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B2E-4007-A811-CD81F6E9B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8551151"/>
        <c:axId val="1328553647"/>
      </c:barChart>
      <c:catAx>
        <c:axId val="1328551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553647"/>
        <c:crosses val="autoZero"/>
        <c:auto val="1"/>
        <c:lblAlgn val="ctr"/>
        <c:lblOffset val="100"/>
        <c:noMultiLvlLbl val="0"/>
      </c:catAx>
      <c:valAx>
        <c:axId val="1328553647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recovered</a:t>
                </a:r>
                <a:r>
                  <a:rPr lang="de-CH" baseline="0"/>
                  <a:t> activity [%]</a:t>
                </a:r>
                <a:endParaRPr lang="de-CH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55115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530305189505754"/>
          <c:y val="3.7276474461310896E-2"/>
          <c:w val="8.008844265152508E-2"/>
          <c:h val="0.2485623833103336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CLEA formation - influence pH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recovered concentration after</a:t>
            </a:r>
            <a:r>
              <a:rPr lang="en-US" baseline="0"/>
              <a:t> precipitation, n=1 (21/09)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average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'glutaldehyde conc'!$B$6:$B$12</c:f>
              <c:strCache>
                <c:ptCount val="7"/>
                <c:pt idx="0">
                  <c:v>neg ctrl</c:v>
                </c:pt>
                <c:pt idx="1">
                  <c:v>20 eq</c:v>
                </c:pt>
                <c:pt idx="2">
                  <c:v>10 eq</c:v>
                </c:pt>
                <c:pt idx="3">
                  <c:v>5 eq</c:v>
                </c:pt>
                <c:pt idx="4">
                  <c:v>2 eq</c:v>
                </c:pt>
                <c:pt idx="5">
                  <c:v>1 eq</c:v>
                </c:pt>
                <c:pt idx="6">
                  <c:v>0.5 eq</c:v>
                </c:pt>
              </c:strCache>
            </c:strRef>
          </c:cat>
          <c:val>
            <c:numRef>
              <c:f>'glutaldehyde conc'!$G$6:$G$12</c:f>
              <c:numCache>
                <c:formatCode>0.0</c:formatCode>
                <c:ptCount val="7"/>
                <c:pt idx="0">
                  <c:v>127.52973891549513</c:v>
                </c:pt>
                <c:pt idx="1">
                  <c:v>55.121272980071069</c:v>
                </c:pt>
                <c:pt idx="2">
                  <c:v>95.913795767032298</c:v>
                </c:pt>
                <c:pt idx="3">
                  <c:v>92.430094237602347</c:v>
                </c:pt>
                <c:pt idx="4">
                  <c:v>67.665688243472886</c:v>
                </c:pt>
                <c:pt idx="5">
                  <c:v>78.935578557083275</c:v>
                </c:pt>
                <c:pt idx="6">
                  <c:v>86.69086976672331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13-4C79-8BB9-E44033C718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8551151"/>
        <c:axId val="1328553647"/>
      </c:barChart>
      <c:catAx>
        <c:axId val="1328551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553647"/>
        <c:crosses val="autoZero"/>
        <c:auto val="1"/>
        <c:lblAlgn val="ctr"/>
        <c:lblOffset val="100"/>
        <c:noMultiLvlLbl val="0"/>
      </c:catAx>
      <c:valAx>
        <c:axId val="1328553647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recovered</a:t>
                </a:r>
                <a:r>
                  <a:rPr lang="de-CH" baseline="0"/>
                  <a:t> conc [%]</a:t>
                </a:r>
                <a:endParaRPr lang="de-CH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551151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533401</xdr:colOff>
      <xdr:row>3</xdr:row>
      <xdr:rowOff>85725</xdr:rowOff>
    </xdr:from>
    <xdr:to>
      <xdr:col>26</xdr:col>
      <xdr:colOff>333375</xdr:colOff>
      <xdr:row>17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314325</xdr:colOff>
      <xdr:row>21</xdr:row>
      <xdr:rowOff>66675</xdr:rowOff>
    </xdr:from>
    <xdr:to>
      <xdr:col>40</xdr:col>
      <xdr:colOff>85725</xdr:colOff>
      <xdr:row>38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161925</xdr:colOff>
      <xdr:row>58</xdr:row>
      <xdr:rowOff>95250</xdr:rowOff>
    </xdr:from>
    <xdr:to>
      <xdr:col>16</xdr:col>
      <xdr:colOff>466725</xdr:colOff>
      <xdr:row>72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190500</xdr:colOff>
      <xdr:row>3</xdr:row>
      <xdr:rowOff>123825</xdr:rowOff>
    </xdr:from>
    <xdr:to>
      <xdr:col>20</xdr:col>
      <xdr:colOff>600074</xdr:colOff>
      <xdr:row>18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190499</xdr:colOff>
      <xdr:row>21</xdr:row>
      <xdr:rowOff>85725</xdr:rowOff>
    </xdr:from>
    <xdr:to>
      <xdr:col>29</xdr:col>
      <xdr:colOff>380998</xdr:colOff>
      <xdr:row>35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190500</xdr:colOff>
      <xdr:row>3</xdr:row>
      <xdr:rowOff>123825</xdr:rowOff>
    </xdr:from>
    <xdr:to>
      <xdr:col>20</xdr:col>
      <xdr:colOff>600074</xdr:colOff>
      <xdr:row>18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171449</xdr:colOff>
      <xdr:row>21</xdr:row>
      <xdr:rowOff>180975</xdr:rowOff>
    </xdr:from>
    <xdr:to>
      <xdr:col>24</xdr:col>
      <xdr:colOff>361948</xdr:colOff>
      <xdr:row>36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581024</xdr:colOff>
      <xdr:row>15</xdr:row>
      <xdr:rowOff>66675</xdr:rowOff>
    </xdr:from>
    <xdr:to>
      <xdr:col>25</xdr:col>
      <xdr:colOff>161923</xdr:colOff>
      <xdr:row>29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190500</xdr:colOff>
      <xdr:row>3</xdr:row>
      <xdr:rowOff>123825</xdr:rowOff>
    </xdr:from>
    <xdr:to>
      <xdr:col>20</xdr:col>
      <xdr:colOff>600074</xdr:colOff>
      <xdr:row>18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75"/>
  <sheetViews>
    <sheetView topLeftCell="D1" zoomScale="62" workbookViewId="0">
      <selection activeCell="H18" sqref="H18"/>
    </sheetView>
  </sheetViews>
  <sheetFormatPr defaultRowHeight="14.6" x14ac:dyDescent="0.4"/>
  <cols>
    <col min="37" max="37" width="11.4609375" customWidth="1"/>
  </cols>
  <sheetData>
    <row r="1" spans="1:27" x14ac:dyDescent="0.4">
      <c r="A1" t="s">
        <v>62</v>
      </c>
    </row>
    <row r="3" spans="1:27" x14ac:dyDescent="0.4">
      <c r="A3" s="7" t="s">
        <v>38</v>
      </c>
      <c r="B3" s="7"/>
      <c r="C3" s="7"/>
      <c r="D3" s="7"/>
      <c r="E3" s="7">
        <v>1709</v>
      </c>
      <c r="F3" s="7"/>
      <c r="G3" s="7"/>
      <c r="H3" s="7"/>
      <c r="I3" s="7">
        <v>1809</v>
      </c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1:27" x14ac:dyDescent="0.4">
      <c r="A4" s="6"/>
      <c r="B4" s="6" t="s">
        <v>13</v>
      </c>
      <c r="C4" s="6"/>
      <c r="D4" s="6" t="s">
        <v>27</v>
      </c>
      <c r="E4" s="27" t="s">
        <v>49</v>
      </c>
      <c r="F4" s="27" t="s">
        <v>17</v>
      </c>
      <c r="G4" s="27" t="s">
        <v>18</v>
      </c>
      <c r="H4" s="27" t="s">
        <v>34</v>
      </c>
      <c r="I4" s="8" t="s">
        <v>50</v>
      </c>
      <c r="J4" s="8" t="s">
        <v>17</v>
      </c>
      <c r="K4" s="8" t="s">
        <v>18</v>
      </c>
      <c r="L4" s="8" t="s">
        <v>34</v>
      </c>
      <c r="M4" s="6" t="s">
        <v>52</v>
      </c>
      <c r="N4" s="5" t="s">
        <v>51</v>
      </c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 x14ac:dyDescent="0.4">
      <c r="A5" s="6" t="s">
        <v>0</v>
      </c>
      <c r="B5" s="6">
        <v>1</v>
      </c>
      <c r="C5" s="6" t="s">
        <v>14</v>
      </c>
      <c r="D5" s="25" t="s">
        <v>42</v>
      </c>
      <c r="E5" s="28">
        <v>0.18154999999999999</v>
      </c>
      <c r="F5" s="29">
        <f>(E5-0.0615)/1.2946</f>
        <v>9.2731345589371225E-2</v>
      </c>
      <c r="G5" s="27">
        <v>0.1</v>
      </c>
      <c r="H5" s="30">
        <f>(F5/G5)*100</f>
        <v>92.731345589371216</v>
      </c>
      <c r="I5" s="23">
        <v>0.18567</v>
      </c>
      <c r="J5" s="24">
        <f>(I5-0.0615)/1.2946</f>
        <v>9.5913795767032295E-2</v>
      </c>
      <c r="K5" s="8">
        <v>0.1</v>
      </c>
      <c r="L5" s="16">
        <f>(J5/K5)*100</f>
        <v>95.913795767032298</v>
      </c>
      <c r="M5" s="26">
        <f>AVERAGE(H5,L5)</f>
        <v>94.322570678201757</v>
      </c>
      <c r="N5" s="6">
        <f>STDEV(H5,L5)</f>
        <v>2.2503321014124835</v>
      </c>
      <c r="O5" s="2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spans="1:27" x14ac:dyDescent="0.4">
      <c r="A6" s="6" t="s">
        <v>1</v>
      </c>
      <c r="B6" s="6">
        <v>2</v>
      </c>
      <c r="C6" s="6" t="s">
        <v>14</v>
      </c>
      <c r="D6" s="25" t="s">
        <v>21</v>
      </c>
      <c r="E6" s="28">
        <v>0.17771999999999999</v>
      </c>
      <c r="F6" s="29">
        <f t="shared" ref="F6:F8" si="0">(E6-0.0615)/1.2946</f>
        <v>8.9772902827128062E-2</v>
      </c>
      <c r="G6" s="27">
        <v>0.1</v>
      </c>
      <c r="H6" s="30">
        <f t="shared" ref="H6:H8" si="1">(F6/G6)*100</f>
        <v>89.77290282712805</v>
      </c>
      <c r="I6" s="23">
        <v>0.17527999999999999</v>
      </c>
      <c r="J6" s="24">
        <f>(I6-0.0615)/1.2946</f>
        <v>8.7888150780163751E-2</v>
      </c>
      <c r="K6" s="8">
        <v>0.1</v>
      </c>
      <c r="L6" s="16">
        <f t="shared" ref="L6:L9" si="2">(J6/K6)*100</f>
        <v>87.888150780163741</v>
      </c>
      <c r="M6" s="26">
        <f t="shared" ref="M6:M9" si="3">AVERAGE(H6,L6)</f>
        <v>88.830526803645895</v>
      </c>
      <c r="N6" s="6">
        <f>STDEV(H6,L6)</f>
        <v>1.332720953263689</v>
      </c>
      <c r="O6" s="2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x14ac:dyDescent="0.4">
      <c r="A7" s="6" t="s">
        <v>2</v>
      </c>
      <c r="B7" s="6">
        <v>3</v>
      </c>
      <c r="C7" s="6" t="s">
        <v>14</v>
      </c>
      <c r="D7" s="25" t="s">
        <v>22</v>
      </c>
      <c r="E7" s="28">
        <v>0.18753</v>
      </c>
      <c r="F7" s="29">
        <f t="shared" si="0"/>
        <v>9.735053298316082E-2</v>
      </c>
      <c r="G7" s="27">
        <v>0.1</v>
      </c>
      <c r="H7" s="30">
        <f t="shared" si="1"/>
        <v>97.350532983160818</v>
      </c>
      <c r="I7" s="23">
        <v>0.16059000000000001</v>
      </c>
      <c r="J7" s="24">
        <f>(I7-0.0615)/1.2946</f>
        <v>7.6541016530202385E-2</v>
      </c>
      <c r="K7" s="8">
        <v>0.1</v>
      </c>
      <c r="L7" s="16">
        <f t="shared" si="2"/>
        <v>76.54101653020237</v>
      </c>
      <c r="M7" s="26">
        <f t="shared" si="3"/>
        <v>86.945774756681601</v>
      </c>
      <c r="N7" s="6">
        <f>STDEV(H7,L7)</f>
        <v>14.714550197099864</v>
      </c>
      <c r="O7" s="2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 spans="1:27" x14ac:dyDescent="0.4">
      <c r="A8" s="6" t="s">
        <v>3</v>
      </c>
      <c r="B8" s="6">
        <v>4</v>
      </c>
      <c r="C8" s="6" t="s">
        <v>14</v>
      </c>
      <c r="D8" s="25" t="s">
        <v>43</v>
      </c>
      <c r="E8" s="28">
        <v>0.18246000000000001</v>
      </c>
      <c r="F8" s="29">
        <f t="shared" si="0"/>
        <v>9.3434265410165307E-2</v>
      </c>
      <c r="G8" s="27">
        <v>0.1</v>
      </c>
      <c r="H8" s="30">
        <f t="shared" si="1"/>
        <v>93.43426541016531</v>
      </c>
      <c r="I8" s="23">
        <v>0.17385999999999999</v>
      </c>
      <c r="J8" s="24">
        <f>(I8-0.0615)/1.2946</f>
        <v>8.6791286883979593E-2</v>
      </c>
      <c r="K8" s="8">
        <v>0.1</v>
      </c>
      <c r="L8" s="16">
        <f t="shared" si="2"/>
        <v>86.791286883979595</v>
      </c>
      <c r="M8" s="26">
        <f t="shared" si="3"/>
        <v>90.112776147072452</v>
      </c>
      <c r="N8" s="6">
        <f>STDEV(H8,L8)</f>
        <v>4.6972951631425364</v>
      </c>
      <c r="O8" s="2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27" x14ac:dyDescent="0.4">
      <c r="A9" s="6" t="s">
        <v>4</v>
      </c>
      <c r="B9" s="6">
        <v>5</v>
      </c>
      <c r="C9" s="6" t="s">
        <v>14</v>
      </c>
      <c r="D9" s="25" t="s">
        <v>46</v>
      </c>
      <c r="E9" s="28">
        <v>2.6900000000000001E-3</v>
      </c>
      <c r="F9" s="29">
        <f>(E9-0.0615)/1.2946</f>
        <v>-4.5427158968021013E-2</v>
      </c>
      <c r="G9" s="27">
        <v>0.1</v>
      </c>
      <c r="H9" s="30">
        <v>0</v>
      </c>
      <c r="I9" s="23"/>
      <c r="J9" s="24"/>
      <c r="K9" s="8">
        <v>0.1</v>
      </c>
      <c r="L9" s="16">
        <f t="shared" si="2"/>
        <v>0</v>
      </c>
      <c r="M9" s="26">
        <f t="shared" si="3"/>
        <v>0</v>
      </c>
      <c r="N9" s="6">
        <f>STDEV(H9,L9)</f>
        <v>0</v>
      </c>
      <c r="O9" s="2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x14ac:dyDescent="0.4">
      <c r="A10" s="6" t="s">
        <v>5</v>
      </c>
      <c r="B10" s="6">
        <v>6</v>
      </c>
      <c r="C10" s="6" t="s">
        <v>14</v>
      </c>
      <c r="D10" s="25" t="s">
        <v>44</v>
      </c>
      <c r="E10" s="28">
        <v>-1.4499999999999999E-3</v>
      </c>
      <c r="F10" s="29">
        <f t="shared" ref="F10:F17" si="4">(E10-0.0615)/1.2946</f>
        <v>-4.862505793295227E-2</v>
      </c>
      <c r="G10" s="27">
        <v>0</v>
      </c>
      <c r="H10" s="30">
        <v>0</v>
      </c>
      <c r="I10" s="23"/>
      <c r="J10" s="24"/>
      <c r="K10" s="8"/>
      <c r="L10" s="16"/>
      <c r="M10" s="25"/>
      <c r="N10" s="6"/>
      <c r="O10" s="2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spans="1:27" x14ac:dyDescent="0.4">
      <c r="A11" s="6" t="s">
        <v>6</v>
      </c>
      <c r="B11" s="6">
        <v>1</v>
      </c>
      <c r="C11" s="6" t="s">
        <v>15</v>
      </c>
      <c r="D11" s="25" t="s">
        <v>20</v>
      </c>
      <c r="E11" s="28">
        <v>4.7440000000000003E-2</v>
      </c>
      <c r="F11" s="29">
        <f t="shared" si="4"/>
        <v>-1.0860497450950097E-2</v>
      </c>
      <c r="G11" s="27">
        <v>0</v>
      </c>
      <c r="H11" s="30">
        <v>0</v>
      </c>
      <c r="I11" s="23"/>
      <c r="J11" s="24"/>
      <c r="K11" s="8"/>
      <c r="L11" s="16"/>
      <c r="M11" s="25"/>
      <c r="N11" s="25"/>
      <c r="O11" s="2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1:27" x14ac:dyDescent="0.4">
      <c r="A12" s="6" t="s">
        <v>7</v>
      </c>
      <c r="B12" s="6">
        <v>2</v>
      </c>
      <c r="C12" s="6" t="s">
        <v>15</v>
      </c>
      <c r="D12" s="25" t="s">
        <v>21</v>
      </c>
      <c r="E12" s="28">
        <v>0.10845</v>
      </c>
      <c r="F12" s="29">
        <f t="shared" si="4"/>
        <v>3.6266028116792838E-2</v>
      </c>
      <c r="G12" s="27">
        <v>0</v>
      </c>
      <c r="H12" s="30">
        <v>0</v>
      </c>
      <c r="I12" s="23"/>
      <c r="J12" s="24"/>
      <c r="K12" s="8"/>
      <c r="L12" s="16"/>
      <c r="M12" s="25"/>
      <c r="N12" s="25"/>
      <c r="O12" s="2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x14ac:dyDescent="0.4">
      <c r="A13" s="6" t="s">
        <v>8</v>
      </c>
      <c r="B13" s="6">
        <v>3</v>
      </c>
      <c r="C13" s="6" t="s">
        <v>15</v>
      </c>
      <c r="D13" s="25" t="s">
        <v>22</v>
      </c>
      <c r="E13" s="28">
        <v>4.2999999999999997E-2</v>
      </c>
      <c r="F13" s="29">
        <f t="shared" si="4"/>
        <v>-1.4290128224934345E-2</v>
      </c>
      <c r="G13" s="27">
        <v>0</v>
      </c>
      <c r="H13" s="30">
        <v>0</v>
      </c>
      <c r="I13" s="23"/>
      <c r="J13" s="24"/>
      <c r="K13" s="8"/>
      <c r="L13" s="16"/>
      <c r="M13" s="25"/>
      <c r="N13" s="25"/>
      <c r="O13" s="2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</row>
    <row r="14" spans="1:27" x14ac:dyDescent="0.4">
      <c r="A14" s="6" t="s">
        <v>9</v>
      </c>
      <c r="B14" s="6">
        <v>4</v>
      </c>
      <c r="C14" s="6" t="s">
        <v>15</v>
      </c>
      <c r="D14" s="25" t="s">
        <v>43</v>
      </c>
      <c r="E14" s="28">
        <v>2.6499999999999999E-2</v>
      </c>
      <c r="F14" s="29">
        <f t="shared" si="4"/>
        <v>-2.7035377722848759E-2</v>
      </c>
      <c r="G14" s="27">
        <v>0</v>
      </c>
      <c r="H14" s="30">
        <v>0</v>
      </c>
      <c r="I14" s="23"/>
      <c r="J14" s="24"/>
      <c r="K14" s="8"/>
      <c r="L14" s="16"/>
      <c r="M14" s="25"/>
      <c r="N14" s="25"/>
      <c r="O14" s="2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spans="1:27" x14ac:dyDescent="0.4">
      <c r="A15" s="6" t="s">
        <v>10</v>
      </c>
      <c r="B15" s="6">
        <v>5</v>
      </c>
      <c r="C15" s="6" t="s">
        <v>15</v>
      </c>
      <c r="D15" s="25" t="s">
        <v>24</v>
      </c>
      <c r="E15" s="28">
        <v>0.24315999999999999</v>
      </c>
      <c r="F15" s="29">
        <f t="shared" si="4"/>
        <v>0.14032133477522013</v>
      </c>
      <c r="G15" s="27">
        <v>0</v>
      </c>
      <c r="H15" s="30">
        <v>0</v>
      </c>
      <c r="I15" s="23"/>
      <c r="J15" s="24"/>
      <c r="K15" s="8"/>
      <c r="L15" s="16"/>
      <c r="M15" s="25"/>
      <c r="N15" s="25"/>
      <c r="O15" s="2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</row>
    <row r="16" spans="1:27" x14ac:dyDescent="0.4">
      <c r="A16" s="6" t="s">
        <v>11</v>
      </c>
      <c r="B16" s="6">
        <v>6</v>
      </c>
      <c r="C16" s="6" t="s">
        <v>15</v>
      </c>
      <c r="D16" s="25" t="s">
        <v>47</v>
      </c>
      <c r="E16" s="28">
        <v>0.19769</v>
      </c>
      <c r="F16" s="29">
        <f t="shared" si="4"/>
        <v>0.10519851691642207</v>
      </c>
      <c r="G16" s="27">
        <v>0.1</v>
      </c>
      <c r="H16" s="30">
        <f t="shared" ref="H16:H17" si="5">(F16/G16)*100</f>
        <v>105.19851691642205</v>
      </c>
      <c r="I16" s="23">
        <v>0.20215</v>
      </c>
      <c r="J16" s="24">
        <f>(I16-0.0615)/1.2946</f>
        <v>0.1086435964776765</v>
      </c>
      <c r="K16" s="8">
        <v>0.1</v>
      </c>
      <c r="L16" s="16">
        <f t="shared" ref="L16" si="6">(J16/K16)*100</f>
        <v>108.6435964776765</v>
      </c>
      <c r="M16" s="26">
        <f t="shared" ref="M16" si="7">AVERAGE(H16,L16)</f>
        <v>106.92105669704927</v>
      </c>
      <c r="N16" s="6">
        <f>STDEV(H16,L16)</f>
        <v>2.4360391194901942</v>
      </c>
      <c r="O16" s="2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32" x14ac:dyDescent="0.4">
      <c r="A17" s="6" t="s">
        <v>12</v>
      </c>
      <c r="B17" s="6"/>
      <c r="C17" s="6" t="s">
        <v>19</v>
      </c>
      <c r="D17" s="25" t="s">
        <v>36</v>
      </c>
      <c r="E17" s="28">
        <v>0.77563000000000004</v>
      </c>
      <c r="F17" s="29">
        <f t="shared" si="4"/>
        <v>0.55162212266337096</v>
      </c>
      <c r="G17" s="27">
        <v>0.442</v>
      </c>
      <c r="H17" s="30">
        <f t="shared" si="5"/>
        <v>124.80138521795723</v>
      </c>
      <c r="I17" s="23"/>
      <c r="J17" s="24"/>
      <c r="K17" s="8"/>
      <c r="L17" s="16"/>
      <c r="M17" s="25"/>
      <c r="N17" s="25"/>
      <c r="O17" s="2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32" x14ac:dyDescent="0.4">
      <c r="A18" s="6"/>
      <c r="B18" s="6"/>
      <c r="C18" s="6"/>
      <c r="D18" s="25"/>
      <c r="E18" s="25"/>
      <c r="F18" s="25"/>
      <c r="G18" s="25"/>
      <c r="H18" s="25"/>
      <c r="I18" s="25"/>
      <c r="J18" s="25"/>
      <c r="K18" s="25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32" x14ac:dyDescent="0.4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1" spans="1:32" ht="15" thickBot="1" x14ac:dyDescent="0.45">
      <c r="A21" s="7" t="s">
        <v>39</v>
      </c>
      <c r="B21" s="7"/>
      <c r="C21" s="7"/>
      <c r="D21" s="7">
        <v>1709</v>
      </c>
      <c r="E21" s="7"/>
      <c r="F21" s="7"/>
      <c r="G21" s="7"/>
      <c r="H21" s="7"/>
      <c r="I21" s="7"/>
      <c r="J21" s="7"/>
      <c r="K21" s="7">
        <v>1809</v>
      </c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x14ac:dyDescent="0.4">
      <c r="A22" s="6" t="s">
        <v>13</v>
      </c>
      <c r="B22" s="6"/>
      <c r="C22" s="6" t="s">
        <v>27</v>
      </c>
      <c r="D22" s="8" t="s">
        <v>28</v>
      </c>
      <c r="E22" s="8" t="s">
        <v>31</v>
      </c>
      <c r="F22" s="8" t="s">
        <v>32</v>
      </c>
      <c r="G22" s="8" t="s">
        <v>33</v>
      </c>
      <c r="H22" s="8" t="s">
        <v>35</v>
      </c>
      <c r="I22" s="27"/>
      <c r="J22" s="27" t="s">
        <v>27</v>
      </c>
      <c r="K22" s="33" t="s">
        <v>54</v>
      </c>
      <c r="L22" s="34" t="s">
        <v>31</v>
      </c>
      <c r="M22" s="34" t="s">
        <v>32</v>
      </c>
      <c r="N22" s="34" t="s">
        <v>33</v>
      </c>
      <c r="O22" s="34" t="s">
        <v>35</v>
      </c>
      <c r="P22" s="33" t="s">
        <v>55</v>
      </c>
      <c r="Q22" s="34" t="s">
        <v>31</v>
      </c>
      <c r="R22" s="34" t="s">
        <v>32</v>
      </c>
      <c r="S22" s="34" t="s">
        <v>33</v>
      </c>
      <c r="T22" s="34" t="s">
        <v>35</v>
      </c>
      <c r="U22" s="33" t="s">
        <v>56</v>
      </c>
      <c r="V22" s="34" t="s">
        <v>31</v>
      </c>
      <c r="W22" s="34" t="s">
        <v>32</v>
      </c>
      <c r="X22" s="34" t="s">
        <v>33</v>
      </c>
      <c r="Y22" s="35" t="s">
        <v>35</v>
      </c>
      <c r="Z22" s="27" t="s">
        <v>52</v>
      </c>
      <c r="AA22" s="27" t="s">
        <v>51</v>
      </c>
      <c r="AB22" s="5" t="s">
        <v>52</v>
      </c>
      <c r="AC22" s="5" t="s">
        <v>51</v>
      </c>
      <c r="AD22" s="6"/>
      <c r="AE22" s="6"/>
      <c r="AF22" s="6"/>
    </row>
    <row r="23" spans="1:32" x14ac:dyDescent="0.4">
      <c r="A23" s="6">
        <v>1</v>
      </c>
      <c r="B23" s="6" t="s">
        <v>14</v>
      </c>
      <c r="C23" s="25" t="s">
        <v>42</v>
      </c>
      <c r="D23" s="23">
        <v>0.28249999999999997</v>
      </c>
      <c r="E23" s="23">
        <f>(F5/100/100)*1000</f>
        <v>9.2731345589371229E-3</v>
      </c>
      <c r="F23" s="23">
        <f>(D23/$B$38)*1000</f>
        <v>7.6766304347826084</v>
      </c>
      <c r="G23" s="31">
        <f>F23/E23</f>
        <v>827.835548593883</v>
      </c>
      <c r="H23" s="31">
        <f>(G23/AVERAGE($G$35,$G$36))*100</f>
        <v>86.416298688487899</v>
      </c>
      <c r="I23" s="27" t="s">
        <v>53</v>
      </c>
      <c r="J23" s="28" t="s">
        <v>42</v>
      </c>
      <c r="K23" s="36">
        <v>0.32579999999999998</v>
      </c>
      <c r="L23" s="37">
        <f>(J5/100/100)*1000</f>
        <v>9.5913795767032291E-3</v>
      </c>
      <c r="M23" s="37">
        <f t="shared" ref="M23:M28" si="8">(K23/$B$38)*1000</f>
        <v>8.8532608695652169</v>
      </c>
      <c r="N23" s="42">
        <f t="shared" ref="N23:N26" si="9">M23/L23</f>
        <v>923.04353078353301</v>
      </c>
      <c r="O23" s="42">
        <f t="shared" ref="O23:O28" si="10">(N23/$N$38)*100</f>
        <v>96.89577822517667</v>
      </c>
      <c r="P23" s="36">
        <v>0.30919999999999997</v>
      </c>
      <c r="Q23" s="37">
        <f>(J5/100/100)*1000</f>
        <v>9.5913795767032291E-3</v>
      </c>
      <c r="R23" s="37">
        <f t="shared" ref="R23:R28" si="11">(P23/$B$38)*1000</f>
        <v>8.4021739130434785</v>
      </c>
      <c r="S23" s="42">
        <f>R23/Q23</f>
        <v>876.01307464170793</v>
      </c>
      <c r="T23" s="42">
        <f t="shared" ref="T23:T28" si="12">(S23/$N$38)*100</f>
        <v>91.95879259430518</v>
      </c>
      <c r="U23" s="36">
        <v>0.30909999999999999</v>
      </c>
      <c r="V23" s="37">
        <f>(J5/100/100)*1000</f>
        <v>9.5913795767032291E-3</v>
      </c>
      <c r="W23" s="37">
        <f t="shared" ref="W23:W28" si="13">(U23/$B$38)*1000</f>
        <v>8.3994565217391308</v>
      </c>
      <c r="X23" s="42">
        <f>W23/V23</f>
        <v>875.72975864085356</v>
      </c>
      <c r="Y23" s="38">
        <f t="shared" ref="Y23:Y28" si="14">(X23/$N$38)*100</f>
        <v>91.929051717010779</v>
      </c>
      <c r="Z23" s="29">
        <f>AVERAGE(O23,T23,Y23)</f>
        <v>93.594540845497548</v>
      </c>
      <c r="AA23" s="27">
        <f t="shared" ref="AA23:AA28" si="15">STDEV(O23,T23,Y23)</f>
        <v>2.8589941076694427</v>
      </c>
      <c r="AB23" s="26">
        <f>AVERAGE(H23,Z23)</f>
        <v>90.005419766992731</v>
      </c>
      <c r="AC23" s="5">
        <f>STDEV(H23,Z23)</f>
        <v>5.0757837062206725</v>
      </c>
      <c r="AD23" s="6"/>
      <c r="AE23" s="6"/>
      <c r="AF23" s="6"/>
    </row>
    <row r="24" spans="1:32" x14ac:dyDescent="0.4">
      <c r="A24" s="6">
        <v>2</v>
      </c>
      <c r="B24" s="6" t="s">
        <v>14</v>
      </c>
      <c r="C24" s="25" t="s">
        <v>21</v>
      </c>
      <c r="D24" s="23">
        <v>0.2341</v>
      </c>
      <c r="E24" s="23">
        <f>(F6/100/100)*1000</f>
        <v>8.9772902827128069E-3</v>
      </c>
      <c r="F24" s="23">
        <f>(D24/$B$38)*1000</f>
        <v>6.3614130434782616</v>
      </c>
      <c r="G24" s="31">
        <f>F24/E24</f>
        <v>708.61171279357745</v>
      </c>
      <c r="H24" s="31">
        <f>(G24/AVERAGE($G$35,$G$36))*100</f>
        <v>73.970731905560598</v>
      </c>
      <c r="I24" s="27" t="s">
        <v>53</v>
      </c>
      <c r="J24" s="28" t="s">
        <v>21</v>
      </c>
      <c r="K24" s="36">
        <v>0.29389999999999999</v>
      </c>
      <c r="L24" s="37">
        <f>(J6/100/100)*1000</f>
        <v>8.7888150780163748E-3</v>
      </c>
      <c r="M24" s="37">
        <f t="shared" si="8"/>
        <v>7.9864130434782625</v>
      </c>
      <c r="N24" s="42">
        <f t="shared" si="9"/>
        <v>908.70190948206709</v>
      </c>
      <c r="O24" s="42">
        <f t="shared" si="10"/>
        <v>95.39027766028272</v>
      </c>
      <c r="P24" s="36">
        <v>0.26719999999999999</v>
      </c>
      <c r="Q24" s="37">
        <f>(J6/100/100)*1000</f>
        <v>8.7888150780163748E-3</v>
      </c>
      <c r="R24" s="37">
        <f t="shared" si="11"/>
        <v>7.2608695652173916</v>
      </c>
      <c r="S24" s="42">
        <f t="shared" ref="S24" si="16">R24/Q24</f>
        <v>826.14886088332184</v>
      </c>
      <c r="T24" s="42">
        <f t="shared" si="12"/>
        <v>86.724335457051851</v>
      </c>
      <c r="U24" s="36">
        <v>0.25059999999999999</v>
      </c>
      <c r="V24" s="37">
        <f>(J6/100/100)*1000</f>
        <v>8.7888150780163748E-3</v>
      </c>
      <c r="W24" s="37">
        <f t="shared" si="13"/>
        <v>6.8097826086956523</v>
      </c>
      <c r="X24" s="42">
        <f t="shared" ref="X24" si="17">W24/V24</f>
        <v>774.82374452604961</v>
      </c>
      <c r="Y24" s="38">
        <f t="shared" si="14"/>
        <v>81.336521203357762</v>
      </c>
      <c r="Z24" s="29">
        <f>AVERAGE(O24,T24,Y24)</f>
        <v>87.817044773564092</v>
      </c>
      <c r="AA24" s="27">
        <f>STDEV(O24,T24,Y24)</f>
        <v>7.090312255143246</v>
      </c>
      <c r="AB24" s="26">
        <f>AVERAGE(H24,Z24)</f>
        <v>80.893888339562352</v>
      </c>
      <c r="AC24" s="5">
        <f t="shared" ref="AC24:AC27" si="18">STDEV(H24,Z24)</f>
        <v>9.7908217233958243</v>
      </c>
      <c r="AD24" s="6"/>
      <c r="AE24" s="6"/>
      <c r="AF24" s="6"/>
    </row>
    <row r="25" spans="1:32" x14ac:dyDescent="0.4">
      <c r="A25" s="6">
        <v>3</v>
      </c>
      <c r="B25" s="6" t="s">
        <v>14</v>
      </c>
      <c r="C25" s="25" t="s">
        <v>22</v>
      </c>
      <c r="D25" s="23">
        <v>0.29630000000000001</v>
      </c>
      <c r="E25" s="23">
        <f>(F7/100/100)*1000</f>
        <v>9.7350532983160824E-3</v>
      </c>
      <c r="F25" s="23">
        <f>(D25/$B$38)*1000</f>
        <v>8.0516304347826093</v>
      </c>
      <c r="G25" s="31">
        <f>F25/E25</f>
        <v>827.07615336583081</v>
      </c>
      <c r="H25" s="31">
        <f>(G25/AVERAGE($G$35,$G$36))*100</f>
        <v>86.337026754634095</v>
      </c>
      <c r="I25" s="27" t="s">
        <v>53</v>
      </c>
      <c r="J25" s="28" t="s">
        <v>22</v>
      </c>
      <c r="K25" s="36">
        <v>0.27389999999999998</v>
      </c>
      <c r="L25" s="37">
        <f>(J7/100/100)*1000</f>
        <v>7.6541016530202385E-3</v>
      </c>
      <c r="M25" s="37">
        <f t="shared" si="8"/>
        <v>7.4429347826086953</v>
      </c>
      <c r="N25" s="42">
        <f t="shared" si="9"/>
        <v>972.41127960088977</v>
      </c>
      <c r="O25" s="42">
        <f t="shared" si="10"/>
        <v>102.07811934057595</v>
      </c>
      <c r="P25" s="36">
        <v>0.27510000000000001</v>
      </c>
      <c r="Q25" s="37">
        <f>(J7/100/100)*1000</f>
        <v>7.6541016530202385E-3</v>
      </c>
      <c r="R25" s="37">
        <f t="shared" si="11"/>
        <v>7.4755434782608701</v>
      </c>
      <c r="S25" s="42">
        <f>R25/Q25</f>
        <v>976.67156998249288</v>
      </c>
      <c r="T25" s="42">
        <f t="shared" si="12"/>
        <v>102.52534001676688</v>
      </c>
      <c r="U25" s="36">
        <v>0.29509999999999997</v>
      </c>
      <c r="V25" s="37">
        <f>(J7/100/100)*1000</f>
        <v>7.6541016530202385E-3</v>
      </c>
      <c r="W25" s="37">
        <f t="shared" si="13"/>
        <v>8.0190217391304355</v>
      </c>
      <c r="X25" s="42">
        <f>W25/V25</f>
        <v>1047.6764096758766</v>
      </c>
      <c r="Y25" s="38">
        <f t="shared" si="14"/>
        <v>109.97901795328208</v>
      </c>
      <c r="Z25" s="29">
        <f>AVERAGE(O25,T25,Y25)</f>
        <v>104.86082577020831</v>
      </c>
      <c r="AA25" s="27">
        <f>STDEV(O25,T25,Y25)</f>
        <v>4.4381212241737282</v>
      </c>
      <c r="AB25" s="26">
        <f>AVERAGE(H25,Z25)</f>
        <v>95.598926262421202</v>
      </c>
      <c r="AC25" s="5">
        <f t="shared" si="18"/>
        <v>13.098303897249219</v>
      </c>
      <c r="AD25" s="6"/>
      <c r="AE25" s="6"/>
      <c r="AF25" s="6"/>
    </row>
    <row r="26" spans="1:32" x14ac:dyDescent="0.4">
      <c r="A26" s="6">
        <v>4</v>
      </c>
      <c r="B26" s="6" t="s">
        <v>14</v>
      </c>
      <c r="C26" s="25" t="s">
        <v>43</v>
      </c>
      <c r="D26" s="23">
        <v>0.23499999999999999</v>
      </c>
      <c r="E26" s="23">
        <f t="shared" ref="E26:E34" si="19">(F8/100/100)*1000</f>
        <v>9.3434265410165303E-3</v>
      </c>
      <c r="F26" s="23">
        <f>(D26/$B$38)*1000</f>
        <v>6.3858695652173916</v>
      </c>
      <c r="G26" s="31">
        <f>F26/E26</f>
        <v>683.46120528525421</v>
      </c>
      <c r="H26" s="31">
        <f>(G26/AVERAGE($G$35,$G$36))*100</f>
        <v>71.345314607767619</v>
      </c>
      <c r="I26" s="27" t="s">
        <v>53</v>
      </c>
      <c r="J26" s="28" t="s">
        <v>43</v>
      </c>
      <c r="K26" s="36">
        <v>0.2737</v>
      </c>
      <c r="L26" s="37">
        <f>(J8/100/100)*1000</f>
        <v>8.6791286883979579E-3</v>
      </c>
      <c r="M26" s="37">
        <f t="shared" si="8"/>
        <v>7.4375000000000009</v>
      </c>
      <c r="N26" s="42">
        <f t="shared" si="9"/>
        <v>856.94085973656149</v>
      </c>
      <c r="O26" s="42">
        <f t="shared" si="10"/>
        <v>89.956701637507862</v>
      </c>
      <c r="P26" s="36">
        <v>0.24149999999999999</v>
      </c>
      <c r="Q26" s="37">
        <f>(J8/100/100)*1000</f>
        <v>8.6791286883979579E-3</v>
      </c>
      <c r="R26" s="37">
        <f t="shared" si="11"/>
        <v>6.5625000000000009</v>
      </c>
      <c r="S26" s="42">
        <f>R26/Q26</f>
        <v>756.12428800284829</v>
      </c>
      <c r="T26" s="42">
        <f t="shared" si="12"/>
        <v>79.373560268389284</v>
      </c>
      <c r="U26" s="36">
        <v>0.2324</v>
      </c>
      <c r="V26" s="37">
        <f>(J8/100/100)*1000</f>
        <v>8.6791286883979579E-3</v>
      </c>
      <c r="W26" s="37">
        <f t="shared" si="13"/>
        <v>6.3152173913043477</v>
      </c>
      <c r="X26" s="42">
        <f>W26/V26</f>
        <v>727.63264816505978</v>
      </c>
      <c r="Y26" s="38">
        <f t="shared" si="14"/>
        <v>76.382672490160118</v>
      </c>
      <c r="Z26" s="29">
        <f>AVERAGE(O26,T26,Y26)</f>
        <v>81.904311465352421</v>
      </c>
      <c r="AA26" s="27">
        <f t="shared" si="15"/>
        <v>7.132117009623391</v>
      </c>
      <c r="AB26" s="26">
        <f>AVERAGE(H26,Z26)</f>
        <v>76.624813036560028</v>
      </c>
      <c r="AC26" s="5">
        <f t="shared" si="18"/>
        <v>7.4663382805256591</v>
      </c>
      <c r="AD26" s="6"/>
      <c r="AE26" s="6"/>
      <c r="AF26" s="6"/>
    </row>
    <row r="27" spans="1:32" x14ac:dyDescent="0.4">
      <c r="A27" s="6">
        <v>5</v>
      </c>
      <c r="B27" s="6" t="s">
        <v>14</v>
      </c>
      <c r="C27" s="25" t="s">
        <v>46</v>
      </c>
      <c r="D27" s="23">
        <v>0.40989999999999999</v>
      </c>
      <c r="E27" s="23">
        <v>0</v>
      </c>
      <c r="F27" s="23">
        <f>(D27/$B$38)*1000</f>
        <v>11.138586956521738</v>
      </c>
      <c r="G27" s="31">
        <v>0</v>
      </c>
      <c r="H27" s="31">
        <f t="shared" ref="H27:H36" si="20">(G27/AVERAGE($G$35,$G$36))*100</f>
        <v>0</v>
      </c>
      <c r="I27" s="27" t="s">
        <v>53</v>
      </c>
      <c r="J27" s="27" t="s">
        <v>58</v>
      </c>
      <c r="K27" s="36">
        <v>0</v>
      </c>
      <c r="L27" s="37"/>
      <c r="M27" s="37">
        <f t="shared" si="8"/>
        <v>0</v>
      </c>
      <c r="N27" s="42"/>
      <c r="O27" s="42">
        <f t="shared" si="10"/>
        <v>0</v>
      </c>
      <c r="P27" s="36"/>
      <c r="Q27" s="37"/>
      <c r="R27" s="37">
        <f t="shared" si="11"/>
        <v>0</v>
      </c>
      <c r="S27" s="42"/>
      <c r="T27" s="42">
        <f t="shared" si="12"/>
        <v>0</v>
      </c>
      <c r="U27" s="36"/>
      <c r="V27" s="37"/>
      <c r="W27" s="37">
        <f t="shared" si="13"/>
        <v>0</v>
      </c>
      <c r="X27" s="42"/>
      <c r="Y27" s="38">
        <f t="shared" si="14"/>
        <v>0</v>
      </c>
      <c r="Z27" s="29">
        <v>0</v>
      </c>
      <c r="AA27" s="27">
        <f t="shared" si="15"/>
        <v>0</v>
      </c>
      <c r="AB27" s="26">
        <f>AVERAGE(H27,Z27)</f>
        <v>0</v>
      </c>
      <c r="AC27" s="5">
        <f t="shared" si="18"/>
        <v>0</v>
      </c>
      <c r="AD27" s="6"/>
      <c r="AE27" s="6"/>
      <c r="AF27" s="6"/>
    </row>
    <row r="28" spans="1:32" x14ac:dyDescent="0.4">
      <c r="A28" s="6">
        <v>6</v>
      </c>
      <c r="B28" s="6" t="s">
        <v>14</v>
      </c>
      <c r="C28" s="25" t="s">
        <v>44</v>
      </c>
      <c r="D28" s="23">
        <v>6.9999999999999999E-4</v>
      </c>
      <c r="E28" s="23">
        <v>0</v>
      </c>
      <c r="F28" s="23">
        <f t="shared" ref="F28:F36" si="21">(D28/$B$38)*1000</f>
        <v>1.9021739130434784E-2</v>
      </c>
      <c r="G28" s="31">
        <v>0</v>
      </c>
      <c r="H28" s="31">
        <f t="shared" si="20"/>
        <v>0</v>
      </c>
      <c r="I28" s="27" t="s">
        <v>53</v>
      </c>
      <c r="J28" s="28" t="s">
        <v>47</v>
      </c>
      <c r="K28" s="36">
        <v>0.35349999999999998</v>
      </c>
      <c r="L28" s="37">
        <f>(J16/100/100)*1000</f>
        <v>1.0864359647767651E-2</v>
      </c>
      <c r="M28" s="37">
        <f t="shared" si="8"/>
        <v>9.6059782608695645</v>
      </c>
      <c r="N28" s="42">
        <f>M28/L28</f>
        <v>884.17344162970051</v>
      </c>
      <c r="O28" s="42">
        <f t="shared" si="10"/>
        <v>92.815420785213348</v>
      </c>
      <c r="P28" s="36">
        <v>0.32579999999999998</v>
      </c>
      <c r="Q28" s="37">
        <f>(J16/100/100)*1000</f>
        <v>1.0864359647767651E-2</v>
      </c>
      <c r="R28" s="37">
        <f t="shared" si="11"/>
        <v>8.8532608695652169</v>
      </c>
      <c r="S28" s="42">
        <f>R28/Q28</f>
        <v>814.89026105503945</v>
      </c>
      <c r="T28" s="42">
        <f t="shared" si="12"/>
        <v>85.542472678422939</v>
      </c>
      <c r="U28" s="36">
        <v>0.35670000000000002</v>
      </c>
      <c r="V28" s="37">
        <f>(J16/100/100)*1000</f>
        <v>1.0864359647767651E-2</v>
      </c>
      <c r="W28" s="37">
        <f t="shared" si="13"/>
        <v>9.6929347826086971</v>
      </c>
      <c r="X28" s="42">
        <f>W28/V28</f>
        <v>892.17727476467962</v>
      </c>
      <c r="Y28" s="38">
        <f t="shared" si="14"/>
        <v>93.655616956394923</v>
      </c>
      <c r="Z28" s="29">
        <f>AVERAGE(O28,T28,Y28)</f>
        <v>90.671170140010403</v>
      </c>
      <c r="AA28" s="27">
        <f t="shared" si="15"/>
        <v>4.4614051195657316</v>
      </c>
      <c r="AB28" s="26">
        <f>AVERAGE(H34,Z28)</f>
        <v>83.517473717489509</v>
      </c>
      <c r="AC28" s="5">
        <f>STDEV(H34,Z28)</f>
        <v>10.11685450182893</v>
      </c>
      <c r="AD28" s="6"/>
      <c r="AE28" s="6"/>
      <c r="AF28" s="6"/>
    </row>
    <row r="29" spans="1:32" x14ac:dyDescent="0.4">
      <c r="A29" s="6">
        <v>1</v>
      </c>
      <c r="B29" s="6" t="s">
        <v>15</v>
      </c>
      <c r="C29" s="25" t="s">
        <v>20</v>
      </c>
      <c r="D29" s="23">
        <v>0.11749999999999999</v>
      </c>
      <c r="E29" s="23">
        <v>0</v>
      </c>
      <c r="F29" s="23">
        <f t="shared" si="21"/>
        <v>3.1929347826086958</v>
      </c>
      <c r="G29" s="31">
        <v>0</v>
      </c>
      <c r="H29" s="31">
        <f t="shared" si="20"/>
        <v>0</v>
      </c>
      <c r="I29" s="27"/>
      <c r="J29" s="28"/>
      <c r="K29" s="36"/>
      <c r="L29" s="37"/>
      <c r="M29" s="37"/>
      <c r="N29" s="42"/>
      <c r="O29" s="42"/>
      <c r="P29" s="36"/>
      <c r="Q29" s="37"/>
      <c r="R29" s="37"/>
      <c r="S29" s="42"/>
      <c r="T29" s="42"/>
      <c r="U29" s="36"/>
      <c r="V29" s="37"/>
      <c r="W29" s="37"/>
      <c r="X29" s="42"/>
      <c r="Y29" s="38"/>
      <c r="Z29" s="28"/>
      <c r="AA29" s="28"/>
      <c r="AD29" s="6"/>
      <c r="AE29" s="6"/>
      <c r="AF29" s="6"/>
    </row>
    <row r="30" spans="1:32" x14ac:dyDescent="0.4">
      <c r="A30" s="6">
        <v>2</v>
      </c>
      <c r="B30" s="6" t="s">
        <v>15</v>
      </c>
      <c r="C30" s="25" t="s">
        <v>21</v>
      </c>
      <c r="D30" s="23">
        <v>0.1991</v>
      </c>
      <c r="E30" s="23">
        <v>0</v>
      </c>
      <c r="F30" s="23">
        <f t="shared" si="21"/>
        <v>5.4103260869565215</v>
      </c>
      <c r="G30" s="31">
        <v>0</v>
      </c>
      <c r="H30" s="31">
        <f t="shared" si="20"/>
        <v>0</v>
      </c>
      <c r="I30" s="27" t="s">
        <v>36</v>
      </c>
      <c r="J30" s="28"/>
      <c r="K30" s="36">
        <v>0.32429999999999998</v>
      </c>
      <c r="L30" s="37">
        <v>8.3000000000000001E-3</v>
      </c>
      <c r="M30" s="37">
        <f>(K30/$B$38)*1000</f>
        <v>8.8125</v>
      </c>
      <c r="N30" s="42">
        <f>M30/L30</f>
        <v>1061.7469879518071</v>
      </c>
      <c r="O30" s="42">
        <f>(N30/$N$38)*100</f>
        <v>111.45606598694009</v>
      </c>
      <c r="P30" s="36">
        <v>0.22869999999999999</v>
      </c>
      <c r="Q30" s="37">
        <v>8.3000000000000001E-3</v>
      </c>
      <c r="R30" s="37">
        <f>(P30/$B$38)*1000</f>
        <v>6.2146739130434785</v>
      </c>
      <c r="S30" s="42">
        <f>R30/Q30</f>
        <v>748.75589313776845</v>
      </c>
      <c r="T30" s="42">
        <f>(S30/$N$38)*100</f>
        <v>78.60006873639594</v>
      </c>
      <c r="U30" s="36">
        <v>0.31990000000000002</v>
      </c>
      <c r="V30" s="37">
        <v>8.3000000000000001E-3</v>
      </c>
      <c r="W30" s="37">
        <f>(U30/$B$38)*1000</f>
        <v>8.6929347826086953</v>
      </c>
      <c r="X30" s="42">
        <f>W30/V30</f>
        <v>1047.3415400733368</v>
      </c>
      <c r="Y30" s="38">
        <f>(X30/$N$38)*100</f>
        <v>109.943865276664</v>
      </c>
      <c r="Z30" s="29">
        <f>AVERAGE(O30,T30,Y30)</f>
        <v>100</v>
      </c>
      <c r="AA30" s="27">
        <f>STDEV(O30,T30,Y30)</f>
        <v>18.548301305302235</v>
      </c>
      <c r="AB30" s="26"/>
      <c r="AC30" s="5"/>
      <c r="AD30" s="6"/>
      <c r="AE30" s="6"/>
      <c r="AF30" s="6"/>
    </row>
    <row r="31" spans="1:32" x14ac:dyDescent="0.4">
      <c r="A31" s="6">
        <v>3</v>
      </c>
      <c r="B31" s="6" t="s">
        <v>15</v>
      </c>
      <c r="C31" s="25" t="s">
        <v>22</v>
      </c>
      <c r="D31" s="23">
        <v>7.2499999999999995E-2</v>
      </c>
      <c r="E31" s="23">
        <v>0</v>
      </c>
      <c r="F31" s="23">
        <f t="shared" si="21"/>
        <v>1.9701086956521738</v>
      </c>
      <c r="G31" s="31">
        <v>0</v>
      </c>
      <c r="H31" s="31">
        <f t="shared" si="20"/>
        <v>0</v>
      </c>
      <c r="I31" s="27"/>
      <c r="J31" s="28"/>
      <c r="K31" s="36"/>
      <c r="L31" s="37"/>
      <c r="M31" s="37"/>
      <c r="N31" s="42"/>
      <c r="O31" s="42"/>
      <c r="P31" s="36"/>
      <c r="Q31" s="37"/>
      <c r="R31" s="37"/>
      <c r="S31" s="42"/>
      <c r="T31" s="42"/>
      <c r="U31" s="36"/>
      <c r="V31" s="37"/>
      <c r="W31" s="37"/>
      <c r="X31" s="42"/>
      <c r="Y31" s="38"/>
      <c r="Z31" s="29"/>
      <c r="AA31" s="27"/>
      <c r="AB31" s="26"/>
      <c r="AC31" s="5"/>
      <c r="AD31" s="6"/>
      <c r="AE31" s="6"/>
      <c r="AF31" s="6"/>
    </row>
    <row r="32" spans="1:32" x14ac:dyDescent="0.4">
      <c r="A32" s="6">
        <v>4</v>
      </c>
      <c r="B32" s="6" t="s">
        <v>15</v>
      </c>
      <c r="C32" s="25" t="s">
        <v>43</v>
      </c>
      <c r="D32" s="23">
        <v>4.65E-2</v>
      </c>
      <c r="E32" s="23">
        <v>0</v>
      </c>
      <c r="F32" s="23">
        <f t="shared" si="21"/>
        <v>1.263586956521739</v>
      </c>
      <c r="G32" s="31">
        <v>0</v>
      </c>
      <c r="H32" s="31">
        <f t="shared" si="20"/>
        <v>0</v>
      </c>
      <c r="I32" s="27"/>
      <c r="J32" s="28"/>
      <c r="K32" s="36"/>
      <c r="L32" s="37"/>
      <c r="M32" s="37"/>
      <c r="N32" s="42"/>
      <c r="O32" s="42"/>
      <c r="P32" s="36"/>
      <c r="Q32" s="37"/>
      <c r="R32" s="37"/>
      <c r="S32" s="42"/>
      <c r="T32" s="42"/>
      <c r="U32" s="36"/>
      <c r="V32" s="37"/>
      <c r="W32" s="37"/>
      <c r="X32" s="42"/>
      <c r="Y32" s="38"/>
      <c r="Z32" s="28"/>
      <c r="AA32" s="28"/>
      <c r="AD32" s="6"/>
      <c r="AE32" s="6"/>
      <c r="AF32" s="6"/>
    </row>
    <row r="33" spans="1:39" x14ac:dyDescent="0.4">
      <c r="A33" s="6">
        <v>5</v>
      </c>
      <c r="B33" s="6" t="s">
        <v>15</v>
      </c>
      <c r="C33" s="25" t="s">
        <v>24</v>
      </c>
      <c r="D33" s="23">
        <v>0.20760000000000001</v>
      </c>
      <c r="E33" s="23">
        <v>0</v>
      </c>
      <c r="F33" s="23">
        <f t="shared" si="21"/>
        <v>5.6413043478260878</v>
      </c>
      <c r="G33" s="31">
        <v>0</v>
      </c>
      <c r="H33" s="31">
        <f t="shared" si="20"/>
        <v>0</v>
      </c>
      <c r="I33" s="27"/>
      <c r="J33" s="28"/>
      <c r="K33" s="36"/>
      <c r="L33" s="37"/>
      <c r="M33" s="37"/>
      <c r="N33" s="42"/>
      <c r="O33" s="42"/>
      <c r="P33" s="36"/>
      <c r="Q33" s="37"/>
      <c r="R33" s="37"/>
      <c r="S33" s="42"/>
      <c r="T33" s="42"/>
      <c r="U33" s="36"/>
      <c r="V33" s="37"/>
      <c r="W33" s="37"/>
      <c r="X33" s="42"/>
      <c r="Y33" s="38"/>
      <c r="Z33" s="28"/>
      <c r="AA33" s="28"/>
      <c r="AB33" s="25"/>
      <c r="AC33" s="25"/>
      <c r="AD33" s="6"/>
      <c r="AE33" s="6"/>
      <c r="AF33" s="6"/>
    </row>
    <row r="34" spans="1:39" x14ac:dyDescent="0.4">
      <c r="A34" s="6">
        <v>6</v>
      </c>
      <c r="B34" s="6" t="s">
        <v>15</v>
      </c>
      <c r="C34" s="25" t="s">
        <v>48</v>
      </c>
      <c r="D34" s="23">
        <v>0.28320000000000001</v>
      </c>
      <c r="E34" s="23">
        <f t="shared" si="19"/>
        <v>1.0519851691642207E-2</v>
      </c>
      <c r="F34" s="23">
        <f t="shared" si="21"/>
        <v>7.6956521739130448</v>
      </c>
      <c r="G34" s="31">
        <f t="shared" ref="G34:G36" si="22">F34/E34</f>
        <v>731.53618506115185</v>
      </c>
      <c r="H34" s="31">
        <f t="shared" si="20"/>
        <v>76.363777294968628</v>
      </c>
      <c r="I34" s="27"/>
      <c r="J34" s="27"/>
      <c r="K34" s="36"/>
      <c r="L34" s="37"/>
      <c r="M34" s="37"/>
      <c r="N34" s="42"/>
      <c r="O34" s="42"/>
      <c r="P34" s="36"/>
      <c r="Q34" s="37"/>
      <c r="R34" s="37"/>
      <c r="S34" s="42"/>
      <c r="T34" s="42"/>
      <c r="U34" s="36"/>
      <c r="V34" s="37"/>
      <c r="W34" s="37"/>
      <c r="X34" s="42"/>
      <c r="Y34" s="38"/>
      <c r="Z34" s="29"/>
      <c r="AA34" s="28"/>
      <c r="AB34" s="26"/>
      <c r="AC34" s="25"/>
      <c r="AD34" s="6"/>
      <c r="AE34" s="6"/>
      <c r="AF34" s="6"/>
    </row>
    <row r="35" spans="1:39" x14ac:dyDescent="0.4">
      <c r="A35" s="6"/>
      <c r="B35" s="6" t="s">
        <v>26</v>
      </c>
      <c r="C35" s="25" t="s">
        <v>36</v>
      </c>
      <c r="D35" s="23">
        <v>0.29020000000000001</v>
      </c>
      <c r="E35" s="23">
        <v>8.3000000000000001E-3</v>
      </c>
      <c r="F35" s="23">
        <f t="shared" si="21"/>
        <v>7.8858695652173925</v>
      </c>
      <c r="G35" s="31">
        <f t="shared" si="22"/>
        <v>950.10476689366169</v>
      </c>
      <c r="H35" s="31">
        <f t="shared" si="20"/>
        <v>99.179767600820242</v>
      </c>
      <c r="I35" s="27"/>
      <c r="J35" s="27"/>
      <c r="K35" s="36"/>
      <c r="L35" s="37"/>
      <c r="M35" s="37"/>
      <c r="N35" s="42"/>
      <c r="O35" s="42"/>
      <c r="P35" s="36"/>
      <c r="Q35" s="37"/>
      <c r="R35" s="37"/>
      <c r="S35" s="42"/>
      <c r="T35" s="42"/>
      <c r="U35" s="36"/>
      <c r="V35" s="37"/>
      <c r="W35" s="37"/>
      <c r="X35" s="42"/>
      <c r="Y35" s="38"/>
      <c r="Z35" s="28"/>
      <c r="AA35" s="28"/>
      <c r="AB35" s="25"/>
      <c r="AC35" s="25"/>
      <c r="AD35" s="6"/>
      <c r="AE35" s="6"/>
      <c r="AF35" s="6"/>
    </row>
    <row r="36" spans="1:39" ht="15" thickBot="1" x14ac:dyDescent="0.45">
      <c r="A36" s="6"/>
      <c r="B36" s="6" t="s">
        <v>26</v>
      </c>
      <c r="C36" s="25" t="s">
        <v>36</v>
      </c>
      <c r="D36" s="23">
        <v>0.29499999999999998</v>
      </c>
      <c r="E36" s="23">
        <v>8.3000000000000001E-3</v>
      </c>
      <c r="F36" s="23">
        <f t="shared" si="21"/>
        <v>8.0163043478260878</v>
      </c>
      <c r="G36" s="31">
        <f t="shared" si="22"/>
        <v>965.81980094290213</v>
      </c>
      <c r="H36" s="31">
        <f t="shared" si="20"/>
        <v>100.82023239917976</v>
      </c>
      <c r="I36" s="27"/>
      <c r="J36" s="27"/>
      <c r="K36" s="39"/>
      <c r="L36" s="40"/>
      <c r="M36" s="40"/>
      <c r="N36" s="43"/>
      <c r="O36" s="43"/>
      <c r="P36" s="39"/>
      <c r="Q36" s="40"/>
      <c r="R36" s="40"/>
      <c r="S36" s="43"/>
      <c r="T36" s="43"/>
      <c r="U36" s="39"/>
      <c r="V36" s="40"/>
      <c r="W36" s="40"/>
      <c r="X36" s="43"/>
      <c r="Y36" s="41"/>
      <c r="Z36" s="27"/>
      <c r="AA36" s="27"/>
      <c r="AB36" s="5"/>
      <c r="AC36" s="5"/>
      <c r="AD36" s="6"/>
      <c r="AE36" s="6"/>
      <c r="AF36" s="6"/>
    </row>
    <row r="37" spans="1:39" ht="15" thickBot="1" x14ac:dyDescent="0.45">
      <c r="A37" s="6"/>
      <c r="B37" s="6"/>
      <c r="C37" s="6"/>
      <c r="D37" s="6"/>
      <c r="E37" s="6"/>
      <c r="F37" s="6"/>
      <c r="G37" s="6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</row>
    <row r="38" spans="1:39" ht="15" thickBot="1" x14ac:dyDescent="0.45">
      <c r="A38" s="4" t="s">
        <v>29</v>
      </c>
      <c r="B38" s="3">
        <v>36.799999999999997</v>
      </c>
      <c r="C38" s="2" t="s">
        <v>30</v>
      </c>
      <c r="D38" s="6"/>
      <c r="E38" s="6"/>
      <c r="F38" s="6"/>
      <c r="G38" s="66"/>
      <c r="H38" s="6"/>
      <c r="I38" s="6"/>
      <c r="J38" s="6"/>
      <c r="K38" s="6"/>
      <c r="L38" s="6" t="s">
        <v>57</v>
      </c>
      <c r="M38" s="6"/>
      <c r="N38" s="29">
        <f>AVERAGE(N30,S30,X30)</f>
        <v>952.61480705430404</v>
      </c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</row>
    <row r="39" spans="1:39" x14ac:dyDescent="0.4">
      <c r="A39" s="6"/>
      <c r="B39" s="6"/>
      <c r="C39" s="6"/>
      <c r="D39" s="6"/>
      <c r="E39" s="6"/>
      <c r="F39" s="6"/>
      <c r="G39" s="66"/>
      <c r="H39" s="6"/>
      <c r="I39" s="6"/>
      <c r="J39" s="6"/>
      <c r="K39" s="6"/>
      <c r="M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</row>
    <row r="40" spans="1:39" x14ac:dyDescent="0.4">
      <c r="A40" s="6"/>
      <c r="B40" s="6"/>
      <c r="C40" s="6"/>
      <c r="D40" s="6"/>
      <c r="E40" s="6"/>
      <c r="F40" s="6"/>
      <c r="G40" s="32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22" t="s">
        <v>63</v>
      </c>
      <c r="AF40" s="22"/>
      <c r="AG40" s="22"/>
      <c r="AH40" s="22"/>
      <c r="AI40" s="22"/>
      <c r="AJ40" s="22"/>
      <c r="AK40" s="22"/>
      <c r="AL40" s="22"/>
      <c r="AM40" s="22"/>
    </row>
    <row r="41" spans="1:39" x14ac:dyDescent="0.4">
      <c r="A41" s="6"/>
      <c r="B41" s="6"/>
      <c r="C41" s="6"/>
      <c r="D41" s="6"/>
      <c r="E41" s="6"/>
      <c r="F41" s="6"/>
      <c r="G41" s="32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22"/>
      <c r="AF41" s="22"/>
      <c r="AG41" s="22"/>
      <c r="AH41" s="22"/>
      <c r="AI41" s="22"/>
      <c r="AJ41" s="22"/>
      <c r="AK41" s="22"/>
      <c r="AL41" s="22"/>
      <c r="AM41" s="22"/>
    </row>
    <row r="42" spans="1:39" x14ac:dyDescent="0.4">
      <c r="A42" s="7" t="s">
        <v>37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</row>
    <row r="43" spans="1:39" x14ac:dyDescent="0.4">
      <c r="A43" s="6"/>
      <c r="B43" s="6" t="s">
        <v>13</v>
      </c>
      <c r="C43" s="6"/>
      <c r="D43" s="6" t="s">
        <v>27</v>
      </c>
      <c r="E43" s="6" t="s">
        <v>16</v>
      </c>
      <c r="F43" s="6" t="s">
        <v>17</v>
      </c>
      <c r="G43" s="6" t="s">
        <v>18</v>
      </c>
      <c r="H43" s="6" t="s">
        <v>34</v>
      </c>
      <c r="I43" s="6"/>
      <c r="J43" s="6"/>
      <c r="K43" s="6"/>
      <c r="L43" s="6"/>
      <c r="M43" s="6"/>
      <c r="N43" s="6"/>
      <c r="O43" s="6"/>
      <c r="P43" s="6"/>
      <c r="Q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</row>
    <row r="44" spans="1:39" x14ac:dyDescent="0.4">
      <c r="A44" s="6" t="s">
        <v>0</v>
      </c>
      <c r="B44" s="6">
        <v>1</v>
      </c>
      <c r="C44" s="6" t="s">
        <v>40</v>
      </c>
      <c r="D44" s="5" t="s">
        <v>20</v>
      </c>
      <c r="E44" s="14">
        <v>1.413E-2</v>
      </c>
      <c r="F44" s="11">
        <f t="shared" ref="F44:F55" si="23">(E44-0.0615)/1.2946</f>
        <v>-3.6590452649467017E-2</v>
      </c>
      <c r="G44" s="6">
        <v>0.1</v>
      </c>
      <c r="H44" s="15">
        <v>0</v>
      </c>
      <c r="I44" s="6"/>
      <c r="J44" s="6"/>
      <c r="K44" s="6"/>
      <c r="L44" s="6"/>
      <c r="M44" s="6"/>
      <c r="N44" s="6"/>
      <c r="O44" s="6"/>
      <c r="P44" s="6"/>
      <c r="Q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</row>
    <row r="45" spans="1:39" x14ac:dyDescent="0.4">
      <c r="A45" s="6" t="s">
        <v>1</v>
      </c>
      <c r="B45" s="6">
        <v>2</v>
      </c>
      <c r="C45" s="6" t="s">
        <v>40</v>
      </c>
      <c r="D45" s="5" t="s">
        <v>21</v>
      </c>
      <c r="E45" s="14">
        <v>-5.2900000000000004E-3</v>
      </c>
      <c r="F45" s="11">
        <f t="shared" si="23"/>
        <v>-5.1591225088830531E-2</v>
      </c>
      <c r="G45" s="6">
        <v>0.1</v>
      </c>
      <c r="H45" s="15">
        <v>0</v>
      </c>
      <c r="I45" s="6"/>
      <c r="J45" s="6"/>
      <c r="K45" s="6"/>
      <c r="L45" s="6"/>
      <c r="M45" s="6"/>
      <c r="N45" s="6"/>
      <c r="O45" s="6"/>
      <c r="P45" s="6"/>
      <c r="Q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</row>
    <row r="46" spans="1:39" x14ac:dyDescent="0.4">
      <c r="A46" s="6" t="s">
        <v>2</v>
      </c>
      <c r="B46" s="6">
        <v>3</v>
      </c>
      <c r="C46" s="6" t="s">
        <v>40</v>
      </c>
      <c r="D46" s="5" t="s">
        <v>22</v>
      </c>
      <c r="E46" s="14">
        <v>7.1000000000000002E-4</v>
      </c>
      <c r="F46" s="11">
        <f t="shared" si="23"/>
        <v>-4.6956588907770741E-2</v>
      </c>
      <c r="G46" s="6">
        <v>0.1</v>
      </c>
      <c r="H46" s="15">
        <v>0</v>
      </c>
      <c r="I46" s="6"/>
      <c r="J46" s="6"/>
      <c r="K46" s="6"/>
      <c r="L46" s="6"/>
      <c r="M46" s="6"/>
      <c r="N46" s="6"/>
      <c r="O46" s="6"/>
      <c r="P46" s="6"/>
      <c r="Q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</row>
    <row r="47" spans="1:39" x14ac:dyDescent="0.4">
      <c r="A47" s="6" t="s">
        <v>3</v>
      </c>
      <c r="B47" s="6">
        <v>4</v>
      </c>
      <c r="C47" s="6" t="s">
        <v>40</v>
      </c>
      <c r="D47" s="5" t="s">
        <v>23</v>
      </c>
      <c r="E47" s="14">
        <v>-1.5399999999999999E-3</v>
      </c>
      <c r="F47" s="11">
        <f t="shared" si="23"/>
        <v>-4.869457747566816E-2</v>
      </c>
      <c r="G47" s="6">
        <v>0.1</v>
      </c>
      <c r="H47" s="15">
        <v>0</v>
      </c>
      <c r="I47" s="6"/>
      <c r="J47" s="6"/>
      <c r="K47" s="6"/>
      <c r="L47" s="6"/>
      <c r="M47" s="6"/>
      <c r="N47" s="6"/>
      <c r="O47" s="6"/>
      <c r="P47" s="6"/>
      <c r="Q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</row>
    <row r="48" spans="1:39" x14ac:dyDescent="0.4">
      <c r="A48" s="6" t="s">
        <v>4</v>
      </c>
      <c r="B48" s="6">
        <v>5</v>
      </c>
      <c r="C48" s="6" t="s">
        <v>40</v>
      </c>
      <c r="D48" s="5" t="s">
        <v>24</v>
      </c>
      <c r="E48" s="5">
        <v>6.3119999999999996E-2</v>
      </c>
      <c r="F48" s="12">
        <f t="shared" si="23"/>
        <v>1.2513517688861398E-3</v>
      </c>
      <c r="G48" s="6">
        <v>0.1</v>
      </c>
      <c r="H48" s="15">
        <v>0</v>
      </c>
      <c r="I48" s="6"/>
      <c r="J48" s="6"/>
      <c r="K48" s="6"/>
      <c r="L48" s="6"/>
      <c r="M48" s="6"/>
      <c r="N48" s="6"/>
      <c r="O48" s="6"/>
      <c r="P48" s="6"/>
      <c r="Q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</row>
    <row r="49" spans="1:32" x14ac:dyDescent="0.4">
      <c r="A49" s="6" t="s">
        <v>5</v>
      </c>
      <c r="B49" s="6">
        <v>6</v>
      </c>
      <c r="C49" s="6" t="s">
        <v>40</v>
      </c>
      <c r="D49" s="5" t="s">
        <v>25</v>
      </c>
      <c r="E49" s="14">
        <v>2.8910000000000002E-2</v>
      </c>
      <c r="F49" s="11">
        <f t="shared" si="23"/>
        <v>-2.5173798856789737E-2</v>
      </c>
      <c r="G49" s="6">
        <v>0</v>
      </c>
      <c r="H49" s="15">
        <v>0</v>
      </c>
      <c r="I49" s="6"/>
      <c r="J49" s="6"/>
      <c r="K49" s="6"/>
      <c r="L49" s="6"/>
      <c r="M49" s="6"/>
      <c r="N49" s="6"/>
      <c r="O49" s="6"/>
      <c r="P49" s="6"/>
      <c r="Q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</row>
    <row r="50" spans="1:32" x14ac:dyDescent="0.4">
      <c r="A50" s="6" t="s">
        <v>6</v>
      </c>
      <c r="B50" s="6">
        <v>1</v>
      </c>
      <c r="C50" s="6" t="s">
        <v>15</v>
      </c>
      <c r="D50" s="5" t="s">
        <v>20</v>
      </c>
      <c r="E50" s="14">
        <v>5.0610000000000002E-2</v>
      </c>
      <c r="F50" s="11">
        <f t="shared" si="23"/>
        <v>-8.4118646686235105E-3</v>
      </c>
      <c r="G50" s="6">
        <v>0</v>
      </c>
      <c r="H50" s="15">
        <v>0</v>
      </c>
      <c r="I50" s="6"/>
      <c r="J50" s="6"/>
      <c r="K50" s="6"/>
      <c r="L50" s="6"/>
      <c r="M50" s="6"/>
      <c r="N50" s="6"/>
      <c r="O50" s="6"/>
      <c r="P50" s="6"/>
      <c r="Q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</row>
    <row r="51" spans="1:32" x14ac:dyDescent="0.4">
      <c r="A51" s="6" t="s">
        <v>7</v>
      </c>
      <c r="B51" s="6">
        <v>2</v>
      </c>
      <c r="C51" s="6" t="s">
        <v>15</v>
      </c>
      <c r="D51" s="5" t="s">
        <v>21</v>
      </c>
      <c r="E51" s="14">
        <v>5.7480000000000003E-2</v>
      </c>
      <c r="F51" s="11">
        <f t="shared" si="23"/>
        <v>-3.1052062413100541E-3</v>
      </c>
      <c r="G51" s="6">
        <v>0</v>
      </c>
      <c r="H51" s="15">
        <v>0</v>
      </c>
      <c r="I51" s="6"/>
      <c r="J51" s="6"/>
      <c r="K51" s="6"/>
      <c r="L51" s="6"/>
      <c r="M51" s="6"/>
      <c r="N51" s="6"/>
      <c r="O51" s="6"/>
      <c r="P51" s="6"/>
      <c r="Q51" s="6"/>
    </row>
    <row r="52" spans="1:32" x14ac:dyDescent="0.4">
      <c r="A52" s="6" t="s">
        <v>8</v>
      </c>
      <c r="B52" s="6">
        <v>3</v>
      </c>
      <c r="C52" s="6" t="s">
        <v>15</v>
      </c>
      <c r="D52" s="5" t="s">
        <v>22</v>
      </c>
      <c r="E52" s="14">
        <v>4.3729999999999998E-2</v>
      </c>
      <c r="F52" s="11">
        <f t="shared" si="23"/>
        <v>-1.3726247489572069E-2</v>
      </c>
      <c r="G52" s="6">
        <v>0</v>
      </c>
      <c r="H52" s="15">
        <v>0</v>
      </c>
      <c r="I52" s="6"/>
      <c r="J52" s="6"/>
      <c r="K52" s="6"/>
      <c r="L52" s="6"/>
      <c r="M52" s="6"/>
      <c r="N52" s="6"/>
      <c r="O52" s="6"/>
      <c r="P52" s="6"/>
      <c r="Q52" s="6"/>
    </row>
    <row r="53" spans="1:32" x14ac:dyDescent="0.4">
      <c r="A53" s="6" t="s">
        <v>9</v>
      </c>
      <c r="B53" s="6">
        <v>4</v>
      </c>
      <c r="C53" s="6" t="s">
        <v>15</v>
      </c>
      <c r="D53" s="5" t="s">
        <v>23</v>
      </c>
      <c r="E53" s="14">
        <v>2.4490000000000001E-2</v>
      </c>
      <c r="F53" s="11">
        <f t="shared" si="23"/>
        <v>-2.8587980843503787E-2</v>
      </c>
      <c r="G53" s="6">
        <v>0</v>
      </c>
      <c r="H53" s="15">
        <v>0</v>
      </c>
      <c r="I53" s="6"/>
      <c r="J53" s="6"/>
      <c r="K53" s="6"/>
      <c r="L53" s="6"/>
      <c r="M53" s="6"/>
      <c r="N53" s="6"/>
      <c r="O53" s="6"/>
      <c r="P53" s="6"/>
      <c r="Q53" s="6"/>
    </row>
    <row r="54" spans="1:32" x14ac:dyDescent="0.4">
      <c r="A54" s="6" t="s">
        <v>10</v>
      </c>
      <c r="B54" s="6">
        <v>5</v>
      </c>
      <c r="C54" s="6" t="s">
        <v>15</v>
      </c>
      <c r="D54" s="5" t="s">
        <v>24</v>
      </c>
      <c r="E54" s="5">
        <v>0.71323000000000003</v>
      </c>
      <c r="F54" s="10">
        <f t="shared" si="23"/>
        <v>0.50342190638034923</v>
      </c>
      <c r="G54" s="6">
        <v>0</v>
      </c>
      <c r="H54" s="15">
        <v>0</v>
      </c>
      <c r="I54" s="6"/>
      <c r="J54" s="6"/>
      <c r="K54" s="6"/>
      <c r="L54" s="6"/>
      <c r="M54" s="6"/>
      <c r="N54" s="6"/>
      <c r="O54" s="6"/>
      <c r="P54" s="6"/>
      <c r="Q54" s="6"/>
    </row>
    <row r="55" spans="1:32" x14ac:dyDescent="0.4">
      <c r="A55" s="6" t="s">
        <v>11</v>
      </c>
      <c r="B55" s="6">
        <v>6</v>
      </c>
      <c r="C55" s="8" t="s">
        <v>15</v>
      </c>
      <c r="D55" s="8" t="s">
        <v>25</v>
      </c>
      <c r="E55" s="8">
        <v>0.21410999999999999</v>
      </c>
      <c r="F55" s="9">
        <f t="shared" si="23"/>
        <v>0.11788197126525568</v>
      </c>
      <c r="G55" s="8">
        <v>0.1</v>
      </c>
      <c r="H55" s="16">
        <f>(F55/G55)*100</f>
        <v>117.88197126525569</v>
      </c>
      <c r="I55" s="6"/>
      <c r="J55" s="6"/>
      <c r="K55" s="6"/>
      <c r="L55" s="6"/>
      <c r="M55" s="6"/>
      <c r="N55" s="6"/>
      <c r="O55" s="6"/>
      <c r="P55" s="6"/>
      <c r="Q55" s="6"/>
    </row>
    <row r="56" spans="1:32" x14ac:dyDescent="0.4">
      <c r="A56" s="6"/>
      <c r="B56" s="6"/>
      <c r="C56" s="6"/>
      <c r="D56" s="6"/>
      <c r="E56" s="6"/>
      <c r="F56" s="1"/>
      <c r="G56" s="6"/>
      <c r="H56" s="1"/>
      <c r="I56" s="6"/>
      <c r="J56" s="6"/>
      <c r="K56" s="6"/>
      <c r="L56" s="6"/>
      <c r="M56" s="6"/>
      <c r="N56" s="6"/>
      <c r="O56" s="6"/>
      <c r="P56" s="6"/>
      <c r="Q56" s="6"/>
    </row>
    <row r="57" spans="1:32" x14ac:dyDescent="0.4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</row>
    <row r="58" spans="1:32" x14ac:dyDescent="0.4">
      <c r="A58" s="7" t="s">
        <v>41</v>
      </c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</row>
    <row r="59" spans="1:32" x14ac:dyDescent="0.4">
      <c r="A59" s="6" t="s">
        <v>13</v>
      </c>
      <c r="B59" s="6"/>
      <c r="C59" s="6" t="s">
        <v>27</v>
      </c>
      <c r="D59" s="6" t="s">
        <v>28</v>
      </c>
      <c r="E59" s="6" t="s">
        <v>31</v>
      </c>
      <c r="F59" s="6" t="s">
        <v>32</v>
      </c>
      <c r="G59" s="6" t="s">
        <v>33</v>
      </c>
      <c r="H59" s="6" t="s">
        <v>35</v>
      </c>
      <c r="I59" s="6"/>
      <c r="J59" s="6"/>
      <c r="K59" s="6"/>
      <c r="L59" s="6"/>
      <c r="M59" s="6"/>
      <c r="N59" s="6"/>
      <c r="O59" s="6"/>
      <c r="P59" s="6"/>
      <c r="Q59" s="6"/>
    </row>
    <row r="60" spans="1:32" x14ac:dyDescent="0.4">
      <c r="A60" s="6">
        <v>1</v>
      </c>
      <c r="B60" s="6" t="s">
        <v>14</v>
      </c>
      <c r="C60" s="8" t="s">
        <v>42</v>
      </c>
      <c r="D60" s="8">
        <v>0.1754</v>
      </c>
      <c r="E60" s="8">
        <f>E23</f>
        <v>9.2731345589371229E-3</v>
      </c>
      <c r="F60" s="8">
        <f>(D60/$B$68)*1000</f>
        <v>4.7663043478260869</v>
      </c>
      <c r="G60" s="16">
        <f>F60/E60</f>
        <v>513.99063795882148</v>
      </c>
      <c r="H60" s="16" t="e">
        <f>(G60/AVERAGE(#REF!,#REF!))*100</f>
        <v>#REF!</v>
      </c>
      <c r="I60" s="6"/>
      <c r="J60" s="6"/>
      <c r="K60" s="6"/>
      <c r="L60" s="6"/>
      <c r="M60" s="6"/>
      <c r="N60" s="6"/>
      <c r="O60" s="6"/>
      <c r="P60" s="6"/>
      <c r="Q60" s="6"/>
    </row>
    <row r="61" spans="1:32" x14ac:dyDescent="0.4">
      <c r="A61" s="6">
        <v>2</v>
      </c>
      <c r="B61" s="6" t="s">
        <v>14</v>
      </c>
      <c r="C61" s="5" t="s">
        <v>21</v>
      </c>
      <c r="D61" s="5">
        <v>0</v>
      </c>
      <c r="E61" s="5"/>
      <c r="F61" s="5"/>
      <c r="G61" s="18"/>
      <c r="H61" s="15">
        <v>0</v>
      </c>
      <c r="I61" s="6"/>
      <c r="J61" s="6"/>
      <c r="K61" s="6"/>
      <c r="L61" s="6"/>
      <c r="M61" s="6"/>
      <c r="N61" s="6"/>
      <c r="O61" s="6"/>
      <c r="P61" s="6"/>
      <c r="Q61" s="6"/>
    </row>
    <row r="62" spans="1:32" x14ac:dyDescent="0.4">
      <c r="A62" s="6">
        <v>3</v>
      </c>
      <c r="B62" s="6" t="s">
        <v>14</v>
      </c>
      <c r="C62" s="5" t="s">
        <v>22</v>
      </c>
      <c r="D62" s="5">
        <v>0</v>
      </c>
      <c r="E62" s="5"/>
      <c r="F62" s="5"/>
      <c r="G62" s="18"/>
      <c r="H62" s="15">
        <v>0</v>
      </c>
      <c r="I62" s="6"/>
      <c r="J62" s="6"/>
      <c r="K62" s="6"/>
      <c r="L62" s="6"/>
      <c r="M62" s="6"/>
      <c r="N62" s="6"/>
      <c r="O62" s="6"/>
      <c r="P62" s="6"/>
      <c r="Q62" s="6"/>
    </row>
    <row r="63" spans="1:32" x14ac:dyDescent="0.4">
      <c r="A63" s="6">
        <v>4</v>
      </c>
      <c r="B63" s="6" t="s">
        <v>14</v>
      </c>
      <c r="C63" s="8" t="s">
        <v>43</v>
      </c>
      <c r="D63" s="8">
        <v>0.1772</v>
      </c>
      <c r="E63" s="8">
        <f>E26</f>
        <v>9.3434265410165303E-3</v>
      </c>
      <c r="F63" s="8">
        <f>(D63/$B$68)*1000</f>
        <v>4.8152173913043486</v>
      </c>
      <c r="G63" s="16">
        <f>F63/E63</f>
        <v>515.35883224062582</v>
      </c>
      <c r="H63" s="16" t="e">
        <f>(G63/AVERAGE(#REF!,#REF!))*100</f>
        <v>#REF!</v>
      </c>
      <c r="I63" s="6"/>
      <c r="J63" s="6"/>
      <c r="K63" s="6"/>
      <c r="L63" s="6"/>
      <c r="M63" s="6"/>
      <c r="N63" s="6"/>
      <c r="O63" s="6"/>
      <c r="P63" s="6"/>
      <c r="Q63" s="6"/>
    </row>
    <row r="64" spans="1:32" x14ac:dyDescent="0.4">
      <c r="A64" s="6">
        <v>5</v>
      </c>
      <c r="B64" s="6" t="s">
        <v>14</v>
      </c>
      <c r="C64" s="5" t="s">
        <v>46</v>
      </c>
      <c r="D64" s="13">
        <v>0</v>
      </c>
      <c r="E64" s="13"/>
      <c r="F64" s="13"/>
      <c r="G64" s="19"/>
      <c r="H64" s="15">
        <v>0</v>
      </c>
      <c r="I64" s="6"/>
      <c r="J64" s="6"/>
      <c r="K64" s="6"/>
      <c r="L64" s="6"/>
      <c r="M64" s="6"/>
      <c r="N64" s="6"/>
      <c r="O64" s="6"/>
      <c r="P64" s="6"/>
      <c r="Q64" s="6"/>
    </row>
    <row r="65" spans="1:17" x14ac:dyDescent="0.4">
      <c r="A65" s="6">
        <v>6</v>
      </c>
      <c r="B65" s="6" t="s">
        <v>14</v>
      </c>
      <c r="C65" s="8" t="s">
        <v>45</v>
      </c>
      <c r="D65" s="20">
        <v>0.2918</v>
      </c>
      <c r="E65" s="20">
        <f>E34</f>
        <v>1.0519851691642207E-2</v>
      </c>
      <c r="F65" s="8">
        <f>(D65/$B$68)*1000</f>
        <v>7.929347826086957</v>
      </c>
      <c r="G65" s="21">
        <f>F65/E65</f>
        <v>753.75091384478844</v>
      </c>
      <c r="H65" s="16" t="e">
        <f>(G65/AVERAGE(#REF!,#REF!))*100</f>
        <v>#REF!</v>
      </c>
      <c r="I65" s="6"/>
      <c r="J65" s="6"/>
      <c r="K65" s="6"/>
      <c r="L65" s="6"/>
      <c r="M65" s="6"/>
      <c r="N65" s="6"/>
      <c r="O65" s="6"/>
      <c r="P65" s="6"/>
      <c r="Q65" s="6"/>
    </row>
    <row r="66" spans="1:17" x14ac:dyDescent="0.4">
      <c r="A66" s="5"/>
      <c r="B66" s="5"/>
      <c r="C66" s="5"/>
      <c r="D66" s="13"/>
      <c r="E66" s="13"/>
      <c r="F66" s="13"/>
      <c r="G66" s="19"/>
      <c r="H66" s="18"/>
      <c r="I66" s="6"/>
      <c r="J66" s="6"/>
      <c r="K66" s="6"/>
      <c r="L66" s="6"/>
      <c r="M66" s="6"/>
      <c r="N66" s="6"/>
      <c r="O66" s="6"/>
      <c r="P66" s="6"/>
      <c r="Q66" s="6"/>
    </row>
    <row r="67" spans="1:17" ht="15" thickBot="1" x14ac:dyDescent="0.45">
      <c r="A67" s="5"/>
      <c r="B67" s="5"/>
      <c r="C67" s="5"/>
      <c r="D67" s="5"/>
      <c r="E67" s="14"/>
      <c r="F67" s="5"/>
      <c r="G67" s="17"/>
      <c r="H67" s="18"/>
      <c r="I67" s="6"/>
      <c r="J67" s="6"/>
      <c r="K67" s="6"/>
      <c r="L67" s="6"/>
      <c r="M67" s="6"/>
      <c r="N67" s="6"/>
      <c r="O67" s="6"/>
      <c r="P67" s="6"/>
      <c r="Q67" s="6"/>
    </row>
    <row r="68" spans="1:17" ht="15" thickBot="1" x14ac:dyDescent="0.45">
      <c r="A68" s="4" t="s">
        <v>29</v>
      </c>
      <c r="B68" s="3">
        <v>36.799999999999997</v>
      </c>
      <c r="C68" s="2" t="s">
        <v>30</v>
      </c>
      <c r="D68" s="5"/>
      <c r="E68" s="14"/>
      <c r="F68" s="5"/>
      <c r="G68" s="17"/>
      <c r="H68" s="18"/>
      <c r="I68" s="6"/>
      <c r="J68" s="6"/>
      <c r="K68" s="6"/>
      <c r="L68" s="6"/>
      <c r="M68" s="6"/>
      <c r="N68" s="6"/>
      <c r="O68" s="6"/>
      <c r="P68" s="6"/>
      <c r="Q68" s="6"/>
    </row>
    <row r="69" spans="1:17" x14ac:dyDescent="0.4">
      <c r="A69" s="6"/>
      <c r="B69" s="6"/>
      <c r="C69" s="6"/>
      <c r="D69" s="5"/>
      <c r="E69" s="14"/>
      <c r="F69" s="5"/>
      <c r="G69" s="17"/>
      <c r="H69" s="18"/>
      <c r="I69" s="6"/>
      <c r="J69" s="6"/>
      <c r="K69" s="6"/>
      <c r="L69" s="6"/>
      <c r="M69" s="6"/>
      <c r="N69" s="6"/>
      <c r="O69" s="6"/>
      <c r="P69" s="6"/>
      <c r="Q69" s="6"/>
    </row>
    <row r="70" spans="1:17" x14ac:dyDescent="0.4">
      <c r="A70" s="5"/>
      <c r="B70" s="5"/>
      <c r="C70" s="5"/>
      <c r="D70" s="5"/>
      <c r="E70" s="5"/>
      <c r="F70" s="5"/>
      <c r="G70" s="18"/>
      <c r="H70" s="18"/>
      <c r="I70" s="6"/>
      <c r="J70" s="6"/>
      <c r="K70" s="6"/>
      <c r="L70" s="6"/>
      <c r="M70" s="6"/>
      <c r="N70" s="6"/>
      <c r="O70" s="6"/>
      <c r="P70" s="6"/>
      <c r="Q70" s="6"/>
    </row>
    <row r="71" spans="1:17" x14ac:dyDescent="0.4">
      <c r="A71" s="5"/>
      <c r="B71" s="5"/>
      <c r="H71" s="18"/>
      <c r="I71" s="6"/>
      <c r="J71" s="6"/>
      <c r="K71" s="6"/>
      <c r="L71" s="6"/>
      <c r="M71" s="6"/>
      <c r="N71" s="6"/>
      <c r="O71" s="6"/>
      <c r="P71" s="6"/>
      <c r="Q71" s="6"/>
    </row>
    <row r="72" spans="1:17" x14ac:dyDescent="0.4">
      <c r="A72" s="5"/>
      <c r="B72" s="5"/>
      <c r="H72" s="18"/>
      <c r="I72" s="6"/>
      <c r="J72" s="6"/>
      <c r="K72" s="6"/>
      <c r="L72" s="6"/>
      <c r="M72" s="6"/>
      <c r="N72" s="6"/>
      <c r="O72" s="6"/>
      <c r="P72" s="6"/>
      <c r="Q72" s="6"/>
    </row>
    <row r="73" spans="1:17" x14ac:dyDescent="0.4">
      <c r="A73" s="5"/>
      <c r="B73" s="5"/>
      <c r="C73" s="5"/>
      <c r="D73" s="5"/>
      <c r="E73" s="5"/>
      <c r="F73" s="5"/>
      <c r="G73" s="18"/>
      <c r="H73" s="18"/>
      <c r="I73" s="6"/>
      <c r="J73" s="6"/>
      <c r="K73" s="6"/>
      <c r="L73" s="6"/>
      <c r="M73" s="6"/>
      <c r="N73" s="6"/>
      <c r="O73" s="6"/>
      <c r="P73" s="6"/>
      <c r="Q73" s="6"/>
    </row>
    <row r="74" spans="1:17" x14ac:dyDescent="0.4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</row>
    <row r="75" spans="1:17" x14ac:dyDescent="0.4"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</row>
  </sheetData>
  <mergeCells count="1">
    <mergeCell ref="G37:G3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55"/>
  <sheetViews>
    <sheetView topLeftCell="G22" zoomScale="58" workbookViewId="0">
      <selection activeCell="T37" sqref="T37"/>
    </sheetView>
  </sheetViews>
  <sheetFormatPr defaultRowHeight="14.6" x14ac:dyDescent="0.4"/>
  <sheetData>
    <row r="1" spans="1:10" x14ac:dyDescent="0.4">
      <c r="A1" t="s">
        <v>67</v>
      </c>
    </row>
    <row r="3" spans="1:10" x14ac:dyDescent="0.4">
      <c r="A3" s="7">
        <v>1809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4">
      <c r="A4" s="5"/>
      <c r="B4" s="5"/>
      <c r="C4" s="5"/>
      <c r="D4" s="5"/>
      <c r="E4" s="5"/>
      <c r="F4" s="5"/>
      <c r="G4" s="5"/>
      <c r="H4" s="6"/>
      <c r="I4" s="6"/>
      <c r="J4" s="6"/>
    </row>
    <row r="5" spans="1:10" x14ac:dyDescent="0.4">
      <c r="A5" s="5" t="s">
        <v>13</v>
      </c>
      <c r="B5" s="5"/>
      <c r="C5" s="5"/>
      <c r="D5" s="5" t="s">
        <v>16</v>
      </c>
      <c r="E5" s="5" t="s">
        <v>17</v>
      </c>
      <c r="F5" s="5" t="s">
        <v>18</v>
      </c>
      <c r="G5" s="5" t="s">
        <v>34</v>
      </c>
      <c r="H5" s="6"/>
      <c r="I5" s="6"/>
      <c r="J5" s="6"/>
    </row>
    <row r="6" spans="1:10" x14ac:dyDescent="0.4">
      <c r="A6" s="5" t="s">
        <v>53</v>
      </c>
      <c r="B6" t="s">
        <v>47</v>
      </c>
      <c r="D6" s="25">
        <v>0.20215</v>
      </c>
      <c r="E6" s="26">
        <f>(D6-0.0615)/1.2946</f>
        <v>0.1086435964776765</v>
      </c>
      <c r="F6" s="5">
        <v>0.1</v>
      </c>
      <c r="G6" s="18">
        <f t="shared" ref="G6" si="0">(E6/F6)*100</f>
        <v>108.6435964776765</v>
      </c>
      <c r="H6" s="6"/>
      <c r="I6" s="6"/>
      <c r="J6" s="6"/>
    </row>
    <row r="7" spans="1:10" x14ac:dyDescent="0.4">
      <c r="A7" s="5" t="s">
        <v>64</v>
      </c>
      <c r="B7" s="25" t="s">
        <v>42</v>
      </c>
      <c r="C7" s="25"/>
      <c r="D7" s="6">
        <v>0.17326</v>
      </c>
      <c r="E7" s="26">
        <f>(D7-0.0615)/1.2946</f>
        <v>8.6327823265873627E-2</v>
      </c>
      <c r="F7" s="5">
        <v>0.1</v>
      </c>
      <c r="G7" s="18">
        <f>(E7/F7)*100</f>
        <v>86.327823265873633</v>
      </c>
      <c r="H7" s="6"/>
      <c r="I7" s="6"/>
      <c r="J7" s="6"/>
    </row>
    <row r="8" spans="1:10" x14ac:dyDescent="0.4">
      <c r="A8" s="5" t="s">
        <v>53</v>
      </c>
      <c r="B8" s="25" t="s">
        <v>42</v>
      </c>
      <c r="C8" s="25"/>
      <c r="D8" s="6">
        <v>0.18567</v>
      </c>
      <c r="E8" s="26">
        <f>(D8-0.0615)/1.2946</f>
        <v>9.5913795767032295E-2</v>
      </c>
      <c r="F8" s="5">
        <v>0.1</v>
      </c>
      <c r="G8" s="18">
        <f>(E8/F8)*100</f>
        <v>95.913795767032298</v>
      </c>
      <c r="H8" s="6"/>
      <c r="I8" s="6"/>
      <c r="J8" s="6"/>
    </row>
    <row r="9" spans="1:10" x14ac:dyDescent="0.4">
      <c r="A9" s="5" t="s">
        <v>66</v>
      </c>
      <c r="B9" s="25" t="s">
        <v>42</v>
      </c>
      <c r="C9" s="25"/>
      <c r="D9" s="6">
        <v>0.17216000000000001</v>
      </c>
      <c r="E9" s="26">
        <f>(D9-0.0615)/1.2946</f>
        <v>8.5478139966012681E-2</v>
      </c>
      <c r="F9" s="5">
        <v>0.1</v>
      </c>
      <c r="G9" s="18">
        <f>(E9/F9)*100</f>
        <v>85.478139966012677</v>
      </c>
      <c r="H9" s="6"/>
      <c r="I9" s="6"/>
      <c r="J9" s="6"/>
    </row>
    <row r="10" spans="1:10" x14ac:dyDescent="0.4">
      <c r="A10" s="5" t="s">
        <v>65</v>
      </c>
      <c r="B10" s="25" t="s">
        <v>42</v>
      </c>
      <c r="C10" s="25"/>
      <c r="D10" s="6">
        <v>0.17521999999999999</v>
      </c>
      <c r="E10" s="26">
        <f>(D10-0.0615)/1.2946</f>
        <v>8.7841804418353153E-2</v>
      </c>
      <c r="F10" s="5">
        <v>0.1</v>
      </c>
      <c r="G10" s="18">
        <f>(E10/F10)*100</f>
        <v>87.841804418353149</v>
      </c>
      <c r="H10" s="6"/>
      <c r="I10" s="6"/>
      <c r="J10" s="6"/>
    </row>
    <row r="11" spans="1:10" x14ac:dyDescent="0.4">
      <c r="B11" s="5"/>
      <c r="C11" s="25"/>
      <c r="D11" s="25"/>
      <c r="E11" s="26"/>
      <c r="F11" s="5"/>
      <c r="G11" s="18"/>
      <c r="H11" s="6"/>
      <c r="I11" s="6"/>
      <c r="J11" s="6"/>
    </row>
    <row r="12" spans="1:10" x14ac:dyDescent="0.4">
      <c r="A12" s="5"/>
      <c r="B12" s="5"/>
      <c r="C12" s="5"/>
      <c r="D12" s="5"/>
      <c r="E12" s="5"/>
      <c r="F12" s="5"/>
      <c r="G12" s="5"/>
      <c r="H12" s="6"/>
      <c r="I12" s="6"/>
      <c r="J12" s="6"/>
    </row>
    <row r="20" spans="1:30" x14ac:dyDescent="0.4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</row>
    <row r="21" spans="1:30" ht="15" thickBot="1" x14ac:dyDescent="0.45">
      <c r="A21" s="7">
        <v>1809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</row>
    <row r="22" spans="1:30" x14ac:dyDescent="0.4">
      <c r="A22" s="5" t="s">
        <v>13</v>
      </c>
      <c r="B22" s="5"/>
      <c r="C22" s="5" t="s">
        <v>27</v>
      </c>
      <c r="D22" s="50" t="s">
        <v>54</v>
      </c>
      <c r="E22" s="51" t="s">
        <v>31</v>
      </c>
      <c r="F22" s="51" t="s">
        <v>32</v>
      </c>
      <c r="G22" s="51" t="s">
        <v>33</v>
      </c>
      <c r="H22" s="51" t="s">
        <v>35</v>
      </c>
      <c r="I22" s="50" t="s">
        <v>55</v>
      </c>
      <c r="J22" s="51" t="s">
        <v>31</v>
      </c>
      <c r="K22" s="51" t="s">
        <v>32</v>
      </c>
      <c r="L22" s="51" t="s">
        <v>33</v>
      </c>
      <c r="M22" s="51" t="s">
        <v>35</v>
      </c>
      <c r="N22" s="50" t="s">
        <v>56</v>
      </c>
      <c r="O22" s="51" t="s">
        <v>31</v>
      </c>
      <c r="P22" s="51" t="s">
        <v>32</v>
      </c>
      <c r="Q22" s="51" t="s">
        <v>33</v>
      </c>
      <c r="R22" s="52" t="s">
        <v>35</v>
      </c>
      <c r="S22" s="5" t="s">
        <v>52</v>
      </c>
      <c r="T22" s="5" t="s">
        <v>51</v>
      </c>
      <c r="U22" s="5"/>
      <c r="V22" s="5"/>
      <c r="AB22" s="5"/>
      <c r="AC22" s="5"/>
      <c r="AD22" s="6"/>
    </row>
    <row r="23" spans="1:30" x14ac:dyDescent="0.4">
      <c r="A23" s="5">
        <v>1</v>
      </c>
      <c r="B23" s="5" t="s">
        <v>53</v>
      </c>
      <c r="C23" s="25" t="s">
        <v>47</v>
      </c>
      <c r="D23" s="53">
        <v>0.35349999999999998</v>
      </c>
      <c r="E23" s="48">
        <f>(E6/100/100)*1000</f>
        <v>1.0864359647767651E-2</v>
      </c>
      <c r="F23" s="48">
        <f t="shared" ref="F23:F28" si="1">(D23/$B$38)*1000</f>
        <v>9.6059782608695645</v>
      </c>
      <c r="G23" s="49">
        <f>F23/E23</f>
        <v>884.17344162970051</v>
      </c>
      <c r="H23" s="49">
        <f>(G23/$K$32)*100</f>
        <v>92.815420785213348</v>
      </c>
      <c r="I23" s="53">
        <v>0.32579999999999998</v>
      </c>
      <c r="J23" s="48">
        <f>(E6/100/100)*1000</f>
        <v>1.0864359647767651E-2</v>
      </c>
      <c r="K23" s="48">
        <f t="shared" ref="K23:K28" si="2">(I23/$B$38)*1000</f>
        <v>8.8532608695652169</v>
      </c>
      <c r="L23" s="49">
        <f t="shared" ref="L23:L28" si="3">K23/J23</f>
        <v>814.89026105503945</v>
      </c>
      <c r="M23" s="49">
        <f t="shared" ref="M23:M28" si="4">(L23/$K$32)*100</f>
        <v>85.542472678422939</v>
      </c>
      <c r="N23" s="53">
        <v>0.35670000000000002</v>
      </c>
      <c r="O23" s="48">
        <f>(E6/100/100)*1000</f>
        <v>1.0864359647767651E-2</v>
      </c>
      <c r="P23" s="48">
        <f t="shared" ref="P23:P28" si="5">(N23/$B$38)*1000</f>
        <v>9.6929347826086971</v>
      </c>
      <c r="Q23" s="49">
        <f t="shared" ref="Q23:Q28" si="6">P23/O23</f>
        <v>892.17727476467962</v>
      </c>
      <c r="R23" s="54">
        <f t="shared" ref="R23:R28" si="7">(Q23/$K$32)*100</f>
        <v>93.655616956394923</v>
      </c>
      <c r="S23" s="26">
        <f>AVERAGE(H23,M23,R23)</f>
        <v>90.671170140010403</v>
      </c>
      <c r="T23" s="5">
        <f>STDEV(H23,M23,R23)</f>
        <v>4.4614051195657316</v>
      </c>
      <c r="U23" s="5"/>
      <c r="V23" s="5"/>
      <c r="AB23" s="26"/>
      <c r="AC23" s="5"/>
      <c r="AD23" s="6"/>
    </row>
    <row r="24" spans="1:30" x14ac:dyDescent="0.4">
      <c r="A24" s="5">
        <v>2</v>
      </c>
      <c r="B24" s="5" t="s">
        <v>59</v>
      </c>
      <c r="C24" s="25" t="s">
        <v>42</v>
      </c>
      <c r="D24" s="53">
        <v>0.3211</v>
      </c>
      <c r="E24" s="48">
        <f t="shared" ref="E24:E27" si="8">(E7/100/100)*1000</f>
        <v>8.6327823265873616E-3</v>
      </c>
      <c r="F24" s="48">
        <f t="shared" si="1"/>
        <v>8.725543478260871</v>
      </c>
      <c r="G24" s="49">
        <f>F24/E24</f>
        <v>1010.7452207369832</v>
      </c>
      <c r="H24" s="49">
        <f t="shared" ref="H24:H28" si="9">(G24/$K$32)*100</f>
        <v>106.10219505850758</v>
      </c>
      <c r="I24" s="53">
        <v>0.31859999999999999</v>
      </c>
      <c r="J24" s="48">
        <f t="shared" ref="J24:J27" si="10">(E7/100/100)*1000</f>
        <v>8.6327823265873616E-3</v>
      </c>
      <c r="K24" s="48">
        <f t="shared" si="2"/>
        <v>8.6576086956521738</v>
      </c>
      <c r="L24" s="49">
        <f t="shared" si="3"/>
        <v>1002.8758247486852</v>
      </c>
      <c r="M24" s="49">
        <f t="shared" si="4"/>
        <v>105.27611132245565</v>
      </c>
      <c r="N24" s="53">
        <v>0.27910000000000001</v>
      </c>
      <c r="O24" s="48">
        <f t="shared" ref="O24:O27" si="11">(E7/100/100)*1000</f>
        <v>8.6327823265873616E-3</v>
      </c>
      <c r="P24" s="48">
        <f t="shared" si="5"/>
        <v>7.5842391304347831</v>
      </c>
      <c r="Q24" s="49">
        <f t="shared" si="6"/>
        <v>878.53936813357836</v>
      </c>
      <c r="R24" s="54">
        <f t="shared" si="7"/>
        <v>92.223988292835443</v>
      </c>
      <c r="S24" s="26">
        <f>AVERAGE(H24,M24,R24)</f>
        <v>101.20076489126622</v>
      </c>
      <c r="T24" s="5">
        <f t="shared" ref="T24:T28" si="12">STDEV(H24,M24,R24)</f>
        <v>7.7850813841823925</v>
      </c>
      <c r="U24" s="5"/>
      <c r="V24" s="5"/>
      <c r="AB24" s="26"/>
      <c r="AC24" s="5"/>
      <c r="AD24" s="6"/>
    </row>
    <row r="25" spans="1:30" x14ac:dyDescent="0.4">
      <c r="A25" s="5">
        <v>3</v>
      </c>
      <c r="B25" s="5" t="s">
        <v>53</v>
      </c>
      <c r="C25" s="25" t="s">
        <v>42</v>
      </c>
      <c r="D25" s="53">
        <v>0.32579999999999998</v>
      </c>
      <c r="E25" s="48">
        <f t="shared" si="8"/>
        <v>9.5913795767032291E-3</v>
      </c>
      <c r="F25" s="48">
        <f t="shared" si="1"/>
        <v>8.8532608695652169</v>
      </c>
      <c r="G25" s="49">
        <f t="shared" ref="G25" si="13">F25/E25</f>
        <v>923.04353078353301</v>
      </c>
      <c r="H25" s="49">
        <f t="shared" si="9"/>
        <v>96.89577822517667</v>
      </c>
      <c r="I25" s="53">
        <v>0.30919999999999997</v>
      </c>
      <c r="J25" s="48">
        <f t="shared" si="10"/>
        <v>9.5913795767032291E-3</v>
      </c>
      <c r="K25" s="48">
        <f t="shared" si="2"/>
        <v>8.4021739130434785</v>
      </c>
      <c r="L25" s="49">
        <f t="shared" si="3"/>
        <v>876.01307464170793</v>
      </c>
      <c r="M25" s="49">
        <f t="shared" si="4"/>
        <v>91.95879259430518</v>
      </c>
      <c r="N25" s="53">
        <v>0.30909999999999999</v>
      </c>
      <c r="O25" s="48">
        <f t="shared" si="11"/>
        <v>9.5913795767032291E-3</v>
      </c>
      <c r="P25" s="48">
        <f t="shared" si="5"/>
        <v>8.3994565217391308</v>
      </c>
      <c r="Q25" s="49">
        <f t="shared" si="6"/>
        <v>875.72975864085356</v>
      </c>
      <c r="R25" s="54">
        <f t="shared" si="7"/>
        <v>91.929051717010779</v>
      </c>
      <c r="S25" s="26">
        <f t="shared" ref="S25" si="14">AVERAGE(H25,M25,R25)</f>
        <v>93.594540845497548</v>
      </c>
      <c r="T25" s="5">
        <f t="shared" si="12"/>
        <v>2.8589941076694427</v>
      </c>
      <c r="U25" s="5"/>
      <c r="V25" s="5"/>
      <c r="AB25" s="26"/>
      <c r="AC25" s="5"/>
      <c r="AD25" s="6"/>
    </row>
    <row r="26" spans="1:30" x14ac:dyDescent="0.4">
      <c r="A26" s="5">
        <v>4</v>
      </c>
      <c r="B26" s="5" t="s">
        <v>60</v>
      </c>
      <c r="C26" s="25" t="s">
        <v>42</v>
      </c>
      <c r="D26" s="53">
        <v>0.33729999999999999</v>
      </c>
      <c r="E26" s="48">
        <f t="shared" si="8"/>
        <v>8.5478139966012681E-3</v>
      </c>
      <c r="F26" s="48">
        <f t="shared" si="1"/>
        <v>9.1657608695652169</v>
      </c>
      <c r="G26" s="49">
        <f>F26/E26</f>
        <v>1072.2929714204886</v>
      </c>
      <c r="H26" s="49">
        <f t="shared" si="9"/>
        <v>112.56312241631599</v>
      </c>
      <c r="I26" s="53">
        <v>0.25040000000000001</v>
      </c>
      <c r="J26" s="48">
        <f t="shared" si="10"/>
        <v>8.5478139966012681E-3</v>
      </c>
      <c r="K26" s="48">
        <f t="shared" si="2"/>
        <v>6.804347826086957</v>
      </c>
      <c r="L26" s="49">
        <f t="shared" si="3"/>
        <v>796.03367934684377</v>
      </c>
      <c r="M26" s="49">
        <f t="shared" si="4"/>
        <v>83.563017649112155</v>
      </c>
      <c r="N26" s="53">
        <v>0.34460000000000002</v>
      </c>
      <c r="O26" s="48">
        <f t="shared" si="11"/>
        <v>8.5478139966012681E-3</v>
      </c>
      <c r="P26" s="48">
        <f t="shared" si="5"/>
        <v>9.3641304347826093</v>
      </c>
      <c r="Q26" s="49">
        <f t="shared" si="6"/>
        <v>1095.500023573971</v>
      </c>
      <c r="R26" s="54">
        <f t="shared" si="7"/>
        <v>114.99926470400976</v>
      </c>
      <c r="S26" s="26">
        <f>AVERAGE(H26,M26,R26)</f>
        <v>103.70846825647931</v>
      </c>
      <c r="T26" s="5">
        <f t="shared" si="12"/>
        <v>17.488941718751143</v>
      </c>
      <c r="U26" s="5"/>
      <c r="V26" s="5"/>
      <c r="AB26" s="26"/>
      <c r="AC26" s="5"/>
      <c r="AD26" s="6"/>
    </row>
    <row r="27" spans="1:30" x14ac:dyDescent="0.4">
      <c r="A27" s="5">
        <v>5</v>
      </c>
      <c r="B27" s="5" t="s">
        <v>61</v>
      </c>
      <c r="C27" s="25" t="s">
        <v>42</v>
      </c>
      <c r="D27" s="53">
        <v>0.2767</v>
      </c>
      <c r="E27" s="48">
        <f t="shared" si="8"/>
        <v>8.7841804418353157E-3</v>
      </c>
      <c r="F27" s="48">
        <f t="shared" si="1"/>
        <v>7.5190217391304355</v>
      </c>
      <c r="G27" s="49">
        <f>F27/E27</f>
        <v>855.97305166006527</v>
      </c>
      <c r="H27" s="49">
        <f t="shared" si="9"/>
        <v>89.855106735840423</v>
      </c>
      <c r="I27" s="53">
        <v>0.247</v>
      </c>
      <c r="J27" s="48">
        <f t="shared" si="10"/>
        <v>8.7841804418353157E-3</v>
      </c>
      <c r="K27" s="48">
        <f t="shared" si="2"/>
        <v>6.7119565217391308</v>
      </c>
      <c r="L27" s="49">
        <f t="shared" si="3"/>
        <v>764.09592974353495</v>
      </c>
      <c r="M27" s="49">
        <f t="shared" si="4"/>
        <v>80.210377172940312</v>
      </c>
      <c r="N27" s="53">
        <v>0.23519999999999999</v>
      </c>
      <c r="O27" s="48">
        <f t="shared" si="11"/>
        <v>8.7841804418353157E-3</v>
      </c>
      <c r="P27" s="48">
        <f t="shared" si="5"/>
        <v>6.3913043478260869</v>
      </c>
      <c r="Q27" s="49">
        <f t="shared" si="6"/>
        <v>727.59256143999755</v>
      </c>
      <c r="R27" s="54">
        <f t="shared" si="7"/>
        <v>76.378464417309971</v>
      </c>
      <c r="S27" s="26">
        <f>AVERAGE(H27,M27,R27)</f>
        <v>82.147982775363559</v>
      </c>
      <c r="T27" s="5">
        <f t="shared" si="12"/>
        <v>6.9441132370021119</v>
      </c>
      <c r="U27" s="5"/>
      <c r="V27" s="5"/>
      <c r="AB27" s="26"/>
      <c r="AC27" s="5"/>
      <c r="AD27" s="6"/>
    </row>
    <row r="28" spans="1:30" x14ac:dyDescent="0.4">
      <c r="A28" s="5">
        <v>6</v>
      </c>
      <c r="B28" s="5" t="s">
        <v>36</v>
      </c>
      <c r="D28" s="53">
        <v>0.32429999999999998</v>
      </c>
      <c r="E28" s="48">
        <v>8.3000000000000001E-3</v>
      </c>
      <c r="F28" s="48">
        <f t="shared" si="1"/>
        <v>8.8125</v>
      </c>
      <c r="G28" s="49">
        <f>F28/E28</f>
        <v>1061.7469879518071</v>
      </c>
      <c r="H28" s="49">
        <f t="shared" si="9"/>
        <v>111.45606598694009</v>
      </c>
      <c r="I28" s="53">
        <v>0.22869999999999999</v>
      </c>
      <c r="J28" s="48">
        <v>8.3000000000000001E-3</v>
      </c>
      <c r="K28" s="48">
        <f t="shared" si="2"/>
        <v>6.2146739130434785</v>
      </c>
      <c r="L28" s="49">
        <f t="shared" si="3"/>
        <v>748.75589313776845</v>
      </c>
      <c r="M28" s="49">
        <f t="shared" si="4"/>
        <v>78.60006873639594</v>
      </c>
      <c r="N28" s="53">
        <v>0.31990000000000002</v>
      </c>
      <c r="O28" s="48">
        <v>8.3000000000000001E-3</v>
      </c>
      <c r="P28" s="48">
        <f t="shared" si="5"/>
        <v>8.6929347826086953</v>
      </c>
      <c r="Q28" s="49">
        <f t="shared" si="6"/>
        <v>1047.3415400733368</v>
      </c>
      <c r="R28" s="54">
        <f t="shared" si="7"/>
        <v>109.943865276664</v>
      </c>
      <c r="S28" s="26">
        <f>AVERAGE(H28,M28,R28)</f>
        <v>100</v>
      </c>
      <c r="T28" s="5">
        <f t="shared" si="12"/>
        <v>18.548301305302235</v>
      </c>
      <c r="U28" s="5"/>
      <c r="V28" s="5"/>
      <c r="AB28" s="26"/>
      <c r="AC28" s="5"/>
      <c r="AD28" s="6"/>
    </row>
    <row r="29" spans="1:30" ht="15" thickBot="1" x14ac:dyDescent="0.45">
      <c r="C29" s="25"/>
      <c r="D29" s="55"/>
      <c r="E29" s="56"/>
      <c r="F29" s="56"/>
      <c r="G29" s="57"/>
      <c r="H29" s="57"/>
      <c r="I29" s="55"/>
      <c r="J29" s="56"/>
      <c r="K29" s="56"/>
      <c r="L29" s="57"/>
      <c r="M29" s="57"/>
      <c r="N29" s="55"/>
      <c r="O29" s="56"/>
      <c r="P29" s="56"/>
      <c r="Q29" s="57"/>
      <c r="R29" s="58"/>
      <c r="S29" s="5"/>
      <c r="T29" s="5"/>
      <c r="U29" s="5"/>
      <c r="V29" s="5"/>
      <c r="AB29" s="26"/>
      <c r="AC29" s="5"/>
      <c r="AD29" s="6"/>
    </row>
    <row r="30" spans="1:30" x14ac:dyDescent="0.4">
      <c r="A30" s="6"/>
      <c r="B30" s="5"/>
      <c r="C30" s="5"/>
      <c r="AB30" s="26"/>
      <c r="AC30" s="5"/>
      <c r="AD30" s="6"/>
    </row>
    <row r="31" spans="1:30" x14ac:dyDescent="0.4">
      <c r="A31" s="6"/>
      <c r="B31" s="6"/>
      <c r="C31" s="25"/>
      <c r="D31" s="25"/>
      <c r="E31" s="25"/>
      <c r="F31" s="25"/>
      <c r="G31" s="45"/>
      <c r="H31" s="45"/>
      <c r="I31" s="6"/>
      <c r="J31" s="6"/>
      <c r="K31" s="6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6"/>
      <c r="AC31" s="47"/>
      <c r="AD31" s="6"/>
    </row>
    <row r="32" spans="1:30" x14ac:dyDescent="0.4">
      <c r="A32" s="6"/>
      <c r="B32" s="6"/>
      <c r="C32" s="25"/>
      <c r="D32" s="25"/>
      <c r="E32" s="25"/>
      <c r="F32" s="25"/>
      <c r="G32" s="45"/>
      <c r="H32" s="45"/>
      <c r="I32" s="6" t="s">
        <v>57</v>
      </c>
      <c r="J32" s="6"/>
      <c r="K32" s="29">
        <f>AVERAGE(G28,L28,Q28)</f>
        <v>952.61480705430404</v>
      </c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6"/>
      <c r="AC32" s="47"/>
      <c r="AD32" s="6"/>
    </row>
    <row r="33" spans="1:30" x14ac:dyDescent="0.4">
      <c r="A33" s="6"/>
      <c r="B33" s="6"/>
      <c r="C33" s="25"/>
      <c r="D33" s="25"/>
      <c r="E33" s="25"/>
      <c r="F33" s="25"/>
      <c r="G33" s="45"/>
      <c r="H33" s="45"/>
      <c r="I33" s="47"/>
      <c r="J33" s="48"/>
      <c r="K33" s="48"/>
      <c r="L33" s="48"/>
      <c r="M33" s="48"/>
      <c r="N33" s="49"/>
      <c r="O33" s="49"/>
      <c r="P33" s="48"/>
      <c r="Q33" s="48"/>
      <c r="R33" s="48"/>
      <c r="S33" s="49"/>
      <c r="T33" s="49"/>
      <c r="U33" s="48"/>
      <c r="V33" s="48"/>
      <c r="W33" s="48"/>
      <c r="X33" s="49"/>
      <c r="Y33" s="49"/>
      <c r="Z33" s="48"/>
      <c r="AA33" s="48"/>
      <c r="AB33" s="48"/>
      <c r="AC33" s="48"/>
      <c r="AD33" s="6"/>
    </row>
    <row r="34" spans="1:30" x14ac:dyDescent="0.4">
      <c r="A34" s="6"/>
      <c r="B34" s="6"/>
      <c r="C34" s="25"/>
      <c r="D34" s="25"/>
      <c r="E34" s="25"/>
      <c r="F34" s="25"/>
      <c r="G34" s="45"/>
      <c r="H34" s="45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6"/>
      <c r="AC34" s="48"/>
      <c r="AD34" s="6"/>
    </row>
    <row r="35" spans="1:30" x14ac:dyDescent="0.4">
      <c r="A35" s="6"/>
      <c r="B35" s="6"/>
      <c r="C35" s="25"/>
      <c r="D35" s="25"/>
      <c r="E35" s="25"/>
      <c r="F35" s="25"/>
      <c r="G35" s="45"/>
      <c r="H35" s="45"/>
      <c r="I35" s="47"/>
      <c r="J35" s="47"/>
      <c r="K35" s="48"/>
      <c r="L35" s="48"/>
      <c r="M35" s="48"/>
      <c r="N35" s="49"/>
      <c r="O35" s="49"/>
      <c r="P35" s="48"/>
      <c r="Q35" s="48"/>
      <c r="R35" s="48"/>
      <c r="S35" s="49"/>
      <c r="T35" s="49"/>
      <c r="U35" s="48"/>
      <c r="V35" s="48"/>
      <c r="W35" s="48"/>
      <c r="X35" s="49"/>
      <c r="Y35" s="49"/>
      <c r="Z35" s="48"/>
      <c r="AA35" s="48"/>
      <c r="AB35" s="48"/>
      <c r="AC35" s="48"/>
      <c r="AD35" s="6"/>
    </row>
    <row r="36" spans="1:30" x14ac:dyDescent="0.4">
      <c r="A36" s="6"/>
      <c r="B36" s="6"/>
      <c r="C36" s="25"/>
      <c r="D36" s="25"/>
      <c r="E36" s="25"/>
      <c r="F36" s="25"/>
      <c r="G36" s="45"/>
      <c r="H36" s="45"/>
      <c r="I36" s="47"/>
      <c r="J36" s="47"/>
      <c r="K36" s="48"/>
      <c r="L36" s="48"/>
      <c r="M36" s="48"/>
      <c r="N36" s="49"/>
      <c r="O36" s="49"/>
      <c r="P36" s="48"/>
      <c r="Q36" s="48"/>
      <c r="R36" s="48"/>
      <c r="S36" s="49"/>
      <c r="T36" s="49"/>
      <c r="U36" s="48"/>
      <c r="V36" s="48"/>
      <c r="W36" s="48"/>
      <c r="X36" s="49"/>
      <c r="Y36" s="49"/>
      <c r="Z36" s="47"/>
      <c r="AA36" s="47"/>
      <c r="AB36" s="47"/>
      <c r="AC36" s="47"/>
      <c r="AD36" s="6"/>
    </row>
    <row r="37" spans="1:30" ht="15" thickBot="1" x14ac:dyDescent="0.45">
      <c r="A37" s="6"/>
      <c r="B37" s="6"/>
      <c r="C37" s="6"/>
      <c r="D37" s="5"/>
      <c r="E37" s="5"/>
      <c r="F37" s="5"/>
      <c r="G37" s="44"/>
      <c r="H37" s="5"/>
      <c r="I37" s="6"/>
      <c r="J37" s="6"/>
      <c r="K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" thickBot="1" x14ac:dyDescent="0.45">
      <c r="A38" s="4" t="s">
        <v>29</v>
      </c>
      <c r="B38" s="3">
        <v>36.799999999999997</v>
      </c>
      <c r="C38" s="2" t="s">
        <v>30</v>
      </c>
      <c r="D38" s="5"/>
      <c r="E38" s="5"/>
      <c r="F38" s="5"/>
      <c r="G38" s="44"/>
      <c r="H38" s="5"/>
      <c r="I38" s="6"/>
      <c r="J38" s="6"/>
      <c r="K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x14ac:dyDescent="0.4">
      <c r="A39" s="6"/>
      <c r="B39" s="6"/>
      <c r="C39" s="6"/>
      <c r="D39" s="5"/>
      <c r="E39" s="5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1" spans="1:30" x14ac:dyDescent="0.4">
      <c r="E41" s="59"/>
      <c r="F41" s="59"/>
      <c r="G41" s="59"/>
      <c r="H41" s="59"/>
      <c r="I41" s="59"/>
    </row>
    <row r="42" spans="1:30" x14ac:dyDescent="0.4">
      <c r="E42" s="59"/>
      <c r="F42" s="59"/>
      <c r="G42" s="59"/>
      <c r="H42" s="59"/>
      <c r="I42" s="59"/>
    </row>
    <row r="43" spans="1:30" x14ac:dyDescent="0.4">
      <c r="E43" s="47"/>
      <c r="F43" s="47"/>
      <c r="G43" s="47"/>
      <c r="H43" s="47"/>
      <c r="I43" s="59"/>
    </row>
    <row r="44" spans="1:30" x14ac:dyDescent="0.4">
      <c r="E44" s="48"/>
      <c r="F44" s="48"/>
      <c r="G44" s="48"/>
      <c r="H44" s="48"/>
      <c r="I44" s="59"/>
    </row>
    <row r="45" spans="1:30" x14ac:dyDescent="0.4">
      <c r="E45" s="48"/>
      <c r="F45" s="48"/>
      <c r="G45" s="48"/>
      <c r="H45" s="48"/>
      <c r="I45" s="59"/>
    </row>
    <row r="46" spans="1:30" x14ac:dyDescent="0.4">
      <c r="E46" s="48"/>
      <c r="F46" s="48"/>
      <c r="G46" s="48"/>
      <c r="H46" s="48"/>
      <c r="I46" s="59"/>
    </row>
    <row r="47" spans="1:30" x14ac:dyDescent="0.4">
      <c r="E47" s="48"/>
      <c r="F47" s="48"/>
      <c r="G47" s="48"/>
      <c r="H47" s="48"/>
      <c r="I47" s="59"/>
    </row>
    <row r="48" spans="1:30" x14ac:dyDescent="0.4">
      <c r="E48" s="47"/>
      <c r="F48" s="48"/>
      <c r="G48" s="48"/>
      <c r="H48" s="48"/>
      <c r="I48" s="59"/>
    </row>
    <row r="49" spans="5:9" x14ac:dyDescent="0.4">
      <c r="E49" s="48"/>
      <c r="F49" s="48"/>
      <c r="G49" s="48"/>
      <c r="H49" s="48"/>
      <c r="I49" s="59"/>
    </row>
    <row r="50" spans="5:9" x14ac:dyDescent="0.4">
      <c r="E50" s="47"/>
      <c r="F50" s="48"/>
      <c r="G50" s="48"/>
      <c r="H50" s="48"/>
      <c r="I50" s="59"/>
    </row>
    <row r="51" spans="5:9" x14ac:dyDescent="0.4">
      <c r="E51" s="47"/>
      <c r="F51" s="48"/>
      <c r="G51" s="48"/>
      <c r="H51" s="48"/>
      <c r="I51" s="59"/>
    </row>
    <row r="52" spans="5:9" x14ac:dyDescent="0.4">
      <c r="E52" s="47"/>
      <c r="F52" s="48"/>
      <c r="G52" s="48"/>
      <c r="H52" s="48"/>
      <c r="I52" s="59"/>
    </row>
    <row r="53" spans="5:9" x14ac:dyDescent="0.4">
      <c r="E53" s="47"/>
      <c r="F53" s="48"/>
      <c r="G53" s="48"/>
      <c r="H53" s="48"/>
      <c r="I53" s="59"/>
    </row>
    <row r="54" spans="5:9" x14ac:dyDescent="0.4">
      <c r="E54" s="47"/>
      <c r="F54" s="48"/>
      <c r="G54" s="48"/>
      <c r="H54" s="48"/>
      <c r="I54" s="59"/>
    </row>
    <row r="55" spans="5:9" x14ac:dyDescent="0.4">
      <c r="E55" s="59"/>
      <c r="F55" s="59"/>
      <c r="G55" s="59"/>
      <c r="H55" s="59"/>
      <c r="I55" s="5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54"/>
  <sheetViews>
    <sheetView tabSelected="1" topLeftCell="C15" zoomScale="60" workbookViewId="0">
      <selection activeCell="M34" sqref="M34"/>
    </sheetView>
  </sheetViews>
  <sheetFormatPr defaultRowHeight="14.6" x14ac:dyDescent="0.4"/>
  <cols>
    <col min="5" max="5" width="10" bestFit="1" customWidth="1"/>
  </cols>
  <sheetData>
    <row r="1" spans="1:31" x14ac:dyDescent="0.4">
      <c r="A1" s="6" t="s">
        <v>68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</row>
    <row r="2" spans="1:31" x14ac:dyDescent="0.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</row>
    <row r="3" spans="1:31" x14ac:dyDescent="0.4">
      <c r="A3" s="7">
        <v>2109</v>
      </c>
      <c r="B3" s="7"/>
      <c r="C3" s="7"/>
      <c r="D3" s="7"/>
      <c r="E3" s="7"/>
      <c r="F3" s="7"/>
      <c r="G3" s="7"/>
      <c r="H3" s="7"/>
      <c r="I3" s="7"/>
      <c r="J3" s="7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</row>
    <row r="4" spans="1:31" x14ac:dyDescent="0.4">
      <c r="A4" s="5"/>
      <c r="B4" s="5"/>
      <c r="C4" s="5"/>
      <c r="D4" s="5"/>
      <c r="E4" s="5"/>
      <c r="F4" s="5"/>
      <c r="G4" s="5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</row>
    <row r="5" spans="1:31" x14ac:dyDescent="0.4">
      <c r="A5" s="5" t="s">
        <v>13</v>
      </c>
      <c r="B5" s="5"/>
      <c r="C5" s="5"/>
      <c r="D5" s="5" t="s">
        <v>16</v>
      </c>
      <c r="E5" s="5" t="s">
        <v>17</v>
      </c>
      <c r="F5" s="5" t="s">
        <v>18</v>
      </c>
      <c r="G5" s="5" t="s">
        <v>34</v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</row>
    <row r="6" spans="1:31" x14ac:dyDescent="0.4">
      <c r="A6" s="6" t="s">
        <v>47</v>
      </c>
      <c r="B6" t="s">
        <v>73</v>
      </c>
      <c r="C6" s="6"/>
      <c r="D6" s="6">
        <v>0.2266</v>
      </c>
      <c r="E6" s="26">
        <f>(D6-0.0615)/1.2946</f>
        <v>0.12752973891549513</v>
      </c>
      <c r="F6" s="5">
        <v>0.1</v>
      </c>
      <c r="G6" s="18">
        <f t="shared" ref="G6" si="0">(E6/F6)*100</f>
        <v>127.52973891549513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</row>
    <row r="7" spans="1:31" x14ac:dyDescent="0.4">
      <c r="A7" s="5" t="s">
        <v>69</v>
      </c>
      <c r="B7" s="25" t="s">
        <v>42</v>
      </c>
      <c r="C7" s="25"/>
      <c r="D7" s="6">
        <v>0.17685000000000001</v>
      </c>
      <c r="E7" s="26">
        <f t="shared" ref="E7:E10" si="1">(D7-0.0615)/1.2946</f>
        <v>8.9100880580874411E-2</v>
      </c>
      <c r="F7" s="5">
        <v>0.1</v>
      </c>
      <c r="G7" s="18">
        <f>(E7/F7)*100</f>
        <v>89.100880580874403</v>
      </c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</row>
    <row r="8" spans="1:31" x14ac:dyDescent="0.4">
      <c r="A8" s="5" t="s">
        <v>70</v>
      </c>
      <c r="B8" s="25" t="s">
        <v>42</v>
      </c>
      <c r="C8" s="25"/>
      <c r="D8" s="6">
        <v>0.18115999999999999</v>
      </c>
      <c r="E8" s="26">
        <f t="shared" si="1"/>
        <v>9.2430094237602345E-2</v>
      </c>
      <c r="F8" s="5">
        <v>0.1</v>
      </c>
      <c r="G8" s="18">
        <f>(E8/F8)*100</f>
        <v>92.430094237602347</v>
      </c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</row>
    <row r="9" spans="1:31" x14ac:dyDescent="0.4">
      <c r="A9" s="5" t="s">
        <v>71</v>
      </c>
      <c r="B9" s="25" t="s">
        <v>42</v>
      </c>
      <c r="C9" s="25"/>
      <c r="D9" s="6">
        <v>0.17213999999999999</v>
      </c>
      <c r="E9" s="26">
        <f t="shared" si="1"/>
        <v>8.5462691178742459E-2</v>
      </c>
      <c r="F9" s="5">
        <v>0.1</v>
      </c>
      <c r="G9" s="18">
        <f>(E9/F9)*100</f>
        <v>85.46269117874246</v>
      </c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</row>
    <row r="10" spans="1:31" x14ac:dyDescent="0.4">
      <c r="A10" s="5" t="s">
        <v>72</v>
      </c>
      <c r="B10" s="25" t="s">
        <v>42</v>
      </c>
      <c r="C10" s="25"/>
      <c r="D10" s="6">
        <v>0.1734</v>
      </c>
      <c r="E10" s="26">
        <f t="shared" si="1"/>
        <v>8.6435964776765031E-2</v>
      </c>
      <c r="F10" s="5">
        <v>0.1</v>
      </c>
      <c r="G10" s="18">
        <f>(E10/F10)*100</f>
        <v>86.435964776765033</v>
      </c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</row>
    <row r="11" spans="1:31" x14ac:dyDescent="0.4">
      <c r="A11" s="6"/>
      <c r="B11" s="5"/>
      <c r="C11" s="25"/>
      <c r="D11" s="25"/>
      <c r="E11" s="26"/>
      <c r="F11" s="5"/>
      <c r="G11" s="18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</row>
    <row r="12" spans="1:31" x14ac:dyDescent="0.4">
      <c r="A12" s="5"/>
      <c r="B12" s="5"/>
      <c r="C12" s="5"/>
      <c r="D12" s="5"/>
      <c r="E12" s="5"/>
      <c r="F12" s="5"/>
      <c r="G12" s="5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</row>
    <row r="13" spans="1:31" x14ac:dyDescent="0.4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</row>
    <row r="14" spans="1:31" x14ac:dyDescent="0.4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</row>
    <row r="15" spans="1:31" x14ac:dyDescent="0.4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</row>
    <row r="16" spans="1:31" x14ac:dyDescent="0.4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</row>
    <row r="17" spans="1:31" x14ac:dyDescent="0.4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</row>
    <row r="18" spans="1:31" x14ac:dyDescent="0.4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</row>
    <row r="19" spans="1:31" x14ac:dyDescent="0.4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</row>
    <row r="20" spans="1:31" x14ac:dyDescent="0.4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</row>
    <row r="21" spans="1:31" ht="15" thickBot="1" x14ac:dyDescent="0.45">
      <c r="A21" s="7">
        <v>2109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6"/>
    </row>
    <row r="22" spans="1:31" x14ac:dyDescent="0.4">
      <c r="A22" s="5" t="s">
        <v>13</v>
      </c>
      <c r="B22" s="5"/>
      <c r="C22" s="5" t="s">
        <v>27</v>
      </c>
      <c r="D22" s="50" t="s">
        <v>54</v>
      </c>
      <c r="E22" s="51" t="s">
        <v>31</v>
      </c>
      <c r="F22" s="51" t="s">
        <v>32</v>
      </c>
      <c r="G22" s="51" t="s">
        <v>33</v>
      </c>
      <c r="H22" s="51" t="s">
        <v>35</v>
      </c>
      <c r="I22" s="50" t="s">
        <v>55</v>
      </c>
      <c r="J22" s="51" t="s">
        <v>31</v>
      </c>
      <c r="K22" s="51" t="s">
        <v>32</v>
      </c>
      <c r="L22" s="51" t="s">
        <v>33</v>
      </c>
      <c r="M22" s="52" t="s">
        <v>35</v>
      </c>
      <c r="N22" s="5" t="s">
        <v>52</v>
      </c>
      <c r="O22" s="5" t="s">
        <v>51</v>
      </c>
      <c r="P22" s="47"/>
      <c r="Q22" s="47"/>
      <c r="R22" s="47"/>
      <c r="U22" s="5"/>
      <c r="V22" s="5"/>
      <c r="W22" s="6"/>
      <c r="X22" s="6"/>
      <c r="Y22" s="6"/>
      <c r="Z22" s="6"/>
      <c r="AA22" s="6"/>
      <c r="AB22" s="5"/>
      <c r="AC22" s="5"/>
      <c r="AD22" s="6"/>
      <c r="AE22" s="6"/>
    </row>
    <row r="23" spans="1:31" x14ac:dyDescent="0.4">
      <c r="A23" s="5">
        <v>1</v>
      </c>
      <c r="B23" s="6" t="s">
        <v>47</v>
      </c>
      <c r="C23" s="6" t="s">
        <v>73</v>
      </c>
      <c r="D23" s="53">
        <v>0.3821</v>
      </c>
      <c r="E23" s="48">
        <f>(E6/100/100)*1000</f>
        <v>1.2752973891549512E-2</v>
      </c>
      <c r="F23" s="48">
        <f t="shared" ref="F23:F28" si="2">(D23/$B$38)*1000</f>
        <v>10.383152173913043</v>
      </c>
      <c r="G23" s="49">
        <f>F23/E23</f>
        <v>814.17497300713671</v>
      </c>
      <c r="H23" s="49">
        <f>(G23/$K$32)*100</f>
        <v>80.159296126337793</v>
      </c>
      <c r="I23" s="53">
        <v>0.33129999999999998</v>
      </c>
      <c r="J23" s="48">
        <f>(E6/100/100)*1000</f>
        <v>1.2752973891549512E-2</v>
      </c>
      <c r="K23" s="48">
        <f t="shared" ref="K23:K28" si="3">(I23/$B$38)*1000</f>
        <v>9.0027173913043494</v>
      </c>
      <c r="L23" s="49">
        <f t="shared" ref="L23:L28" si="4">K23/J23</f>
        <v>705.93082584994625</v>
      </c>
      <c r="M23" s="54">
        <f t="shared" ref="M23:M28" si="5">(L23/$K$32)*100</f>
        <v>69.502158614644642</v>
      </c>
      <c r="N23" s="26">
        <f>AVERAGE(H23,M23)</f>
        <v>74.830727370491218</v>
      </c>
      <c r="O23" s="5">
        <f>STDEV(H23,M23)</f>
        <v>7.5357342025557559</v>
      </c>
      <c r="P23" s="48"/>
      <c r="Q23" s="49"/>
      <c r="R23" s="49"/>
      <c r="U23" s="5"/>
      <c r="V23" s="5"/>
      <c r="W23" s="6"/>
      <c r="X23" s="6"/>
      <c r="Y23" s="6"/>
      <c r="Z23" s="6"/>
      <c r="AA23" s="6"/>
      <c r="AB23" s="26"/>
      <c r="AC23" s="5"/>
      <c r="AD23" s="6"/>
      <c r="AE23" s="6"/>
    </row>
    <row r="24" spans="1:31" x14ac:dyDescent="0.4">
      <c r="A24" s="5">
        <v>2</v>
      </c>
      <c r="B24" s="5" t="s">
        <v>69</v>
      </c>
      <c r="C24" s="25" t="s">
        <v>42</v>
      </c>
      <c r="D24" s="53">
        <v>0.30809999999999998</v>
      </c>
      <c r="E24" s="48">
        <f>(E7/100/100)*1000</f>
        <v>8.9100880580874411E-3</v>
      </c>
      <c r="F24" s="48">
        <f t="shared" si="2"/>
        <v>8.3722826086956523</v>
      </c>
      <c r="G24" s="49">
        <f>F24/E24</f>
        <v>939.64083790354493</v>
      </c>
      <c r="H24" s="49">
        <f t="shared" ref="H24:H28" si="6">(G24/$K$32)*100</f>
        <v>92.51199149454844</v>
      </c>
      <c r="I24" s="53">
        <v>0.31009999999999999</v>
      </c>
      <c r="J24" s="48">
        <f>(E7/100/100)*1000</f>
        <v>8.9100880580874411E-3</v>
      </c>
      <c r="K24" s="48">
        <f t="shared" si="3"/>
        <v>8.4266304347826075</v>
      </c>
      <c r="L24" s="49">
        <f t="shared" si="4"/>
        <v>945.74042140178267</v>
      </c>
      <c r="M24" s="54">
        <f t="shared" si="5"/>
        <v>93.112523734045652</v>
      </c>
      <c r="N24" s="26">
        <f>AVERAGE(H24,M24)</f>
        <v>92.812257614297039</v>
      </c>
      <c r="O24" s="5">
        <f>STDEV(H24,M24)</f>
        <v>0.42464041886962289</v>
      </c>
      <c r="P24" s="48"/>
      <c r="Q24" s="49"/>
      <c r="R24" s="49"/>
      <c r="U24" s="5"/>
      <c r="V24" s="5"/>
      <c r="W24" s="6"/>
      <c r="X24" s="6"/>
      <c r="Y24" s="6"/>
      <c r="Z24" s="6"/>
      <c r="AA24" s="6"/>
      <c r="AB24" s="26"/>
      <c r="AC24" s="5"/>
      <c r="AD24" s="6"/>
      <c r="AE24" s="6"/>
    </row>
    <row r="25" spans="1:31" x14ac:dyDescent="0.4">
      <c r="A25" s="5">
        <v>3</v>
      </c>
      <c r="B25" s="5" t="s">
        <v>70</v>
      </c>
      <c r="C25" s="25" t="s">
        <v>42</v>
      </c>
      <c r="D25" s="53">
        <v>0.30080000000000001</v>
      </c>
      <c r="E25" s="48">
        <f>(E8/100/100)*1000</f>
        <v>9.2430094237602334E-3</v>
      </c>
      <c r="F25" s="48">
        <f t="shared" si="2"/>
        <v>8.1739130434782616</v>
      </c>
      <c r="G25" s="49">
        <f t="shared" ref="G25" si="7">F25/E25</f>
        <v>884.33460020783548</v>
      </c>
      <c r="H25" s="49">
        <f t="shared" si="6"/>
        <v>87.066836298105017</v>
      </c>
      <c r="I25" s="53">
        <v>0.26329999999999998</v>
      </c>
      <c r="J25" s="48">
        <f>(E8/100/100)*1000</f>
        <v>9.2430094237602334E-3</v>
      </c>
      <c r="K25" s="48">
        <f t="shared" si="3"/>
        <v>7.1548913043478262</v>
      </c>
      <c r="L25" s="49">
        <f t="shared" si="4"/>
        <v>774.08676939735062</v>
      </c>
      <c r="M25" s="54">
        <f t="shared" si="5"/>
        <v>76.212426852696296</v>
      </c>
      <c r="N25" s="26">
        <f>AVERAGE(H25,M25)</f>
        <v>81.639631575400657</v>
      </c>
      <c r="O25" s="5">
        <f>STDEV(H25,M25)</f>
        <v>7.6752265246238185</v>
      </c>
      <c r="P25" s="48"/>
      <c r="Q25" s="49"/>
      <c r="R25" s="49"/>
      <c r="U25" s="5"/>
      <c r="V25" s="5"/>
      <c r="W25" s="6"/>
      <c r="X25" s="6"/>
      <c r="Y25" s="6"/>
      <c r="Z25" s="6"/>
      <c r="AA25" s="6"/>
      <c r="AB25" s="26"/>
      <c r="AC25" s="5"/>
      <c r="AD25" s="6"/>
      <c r="AE25" s="6"/>
    </row>
    <row r="26" spans="1:31" x14ac:dyDescent="0.4">
      <c r="A26" s="5">
        <v>4</v>
      </c>
      <c r="B26" s="5" t="s">
        <v>71</v>
      </c>
      <c r="C26" s="25" t="s">
        <v>42</v>
      </c>
      <c r="D26" s="53">
        <v>0.24640000000000001</v>
      </c>
      <c r="E26" s="48">
        <f>(E9/100/100)*1000</f>
        <v>8.5462691178742455E-3</v>
      </c>
      <c r="F26" s="48">
        <f t="shared" si="2"/>
        <v>6.6956521739130448</v>
      </c>
      <c r="G26" s="49">
        <f>F26/E26</f>
        <v>783.45908390707064</v>
      </c>
      <c r="H26" s="49">
        <f t="shared" si="6"/>
        <v>77.135174614641116</v>
      </c>
      <c r="I26" s="53">
        <v>0.23599999999999999</v>
      </c>
      <c r="J26" s="48">
        <f>(E9/100/100)*1000</f>
        <v>8.5462691178742455E-3</v>
      </c>
      <c r="K26" s="48">
        <f t="shared" si="3"/>
        <v>6.4130434782608692</v>
      </c>
      <c r="L26" s="49">
        <f t="shared" si="4"/>
        <v>750.39100569021355</v>
      </c>
      <c r="M26" s="54">
        <f t="shared" si="5"/>
        <v>73.879469192594556</v>
      </c>
      <c r="N26" s="26">
        <f>AVERAGE(H26,M26)</f>
        <v>75.507321903617836</v>
      </c>
      <c r="O26" s="5">
        <f>STDEV(H26,M26)</f>
        <v>2.3021313814749331</v>
      </c>
      <c r="P26" s="48"/>
      <c r="Q26" s="49"/>
      <c r="R26" s="49"/>
      <c r="U26" s="5"/>
      <c r="V26" s="5"/>
      <c r="W26" s="6"/>
      <c r="X26" s="6"/>
      <c r="Y26" s="6"/>
      <c r="Z26" s="6"/>
      <c r="AA26" s="6"/>
      <c r="AB26" s="26"/>
      <c r="AC26" s="5"/>
      <c r="AD26" s="6"/>
      <c r="AE26" s="6"/>
    </row>
    <row r="27" spans="1:31" x14ac:dyDescent="0.4">
      <c r="A27" s="5">
        <v>5</v>
      </c>
      <c r="B27" s="5" t="s">
        <v>72</v>
      </c>
      <c r="C27" s="25" t="s">
        <v>42</v>
      </c>
      <c r="D27" s="53">
        <v>0.18820000000000001</v>
      </c>
      <c r="E27" s="48">
        <f>(E10/100/100)*1000</f>
        <v>8.6435964776765024E-3</v>
      </c>
      <c r="F27" s="48">
        <f t="shared" si="2"/>
        <v>5.1141304347826093</v>
      </c>
      <c r="G27" s="49">
        <f>F27/E27</f>
        <v>591.66695807592191</v>
      </c>
      <c r="H27" s="49">
        <f t="shared" si="6"/>
        <v>58.252351733933224</v>
      </c>
      <c r="I27" s="53">
        <v>0.1565</v>
      </c>
      <c r="J27" s="48">
        <f>(E10/100/100)*1000</f>
        <v>8.6435964776765024E-3</v>
      </c>
      <c r="K27" s="48">
        <f t="shared" si="3"/>
        <v>4.2527173913043477</v>
      </c>
      <c r="L27" s="49">
        <f t="shared" si="4"/>
        <v>492.00785833624741</v>
      </c>
      <c r="M27" s="54">
        <f t="shared" si="5"/>
        <v>48.440451893520446</v>
      </c>
      <c r="N27" s="26">
        <f>AVERAGE(H27,M27)</f>
        <v>53.346401813726835</v>
      </c>
      <c r="O27" s="5">
        <f t="shared" ref="O27:O28" si="8">STDEV(H27,M27)</f>
        <v>6.9380609134790792</v>
      </c>
      <c r="P27" s="48"/>
      <c r="Q27" s="49"/>
      <c r="R27" s="49"/>
      <c r="U27" s="5"/>
      <c r="V27" s="5"/>
      <c r="W27" s="6"/>
      <c r="X27" s="6"/>
      <c r="Y27" s="6"/>
      <c r="Z27" s="6"/>
      <c r="AA27" s="6"/>
      <c r="AB27" s="26"/>
      <c r="AC27" s="5"/>
      <c r="AD27" s="6"/>
      <c r="AE27" s="6"/>
    </row>
    <row r="28" spans="1:31" x14ac:dyDescent="0.4">
      <c r="A28" s="5">
        <v>6</v>
      </c>
      <c r="B28" s="5" t="s">
        <v>36</v>
      </c>
      <c r="C28" s="6"/>
      <c r="D28" s="53">
        <v>0.58919999999999995</v>
      </c>
      <c r="E28" s="48">
        <f>(2.86/1000/100/2)*1000</f>
        <v>1.4299999999999998E-2</v>
      </c>
      <c r="F28" s="48">
        <f t="shared" si="2"/>
        <v>16.010869565217391</v>
      </c>
      <c r="G28" s="49">
        <f>F28/E28</f>
        <v>1119.6412283368807</v>
      </c>
      <c r="H28" s="49">
        <f t="shared" si="6"/>
        <v>110.23386342376051</v>
      </c>
      <c r="I28" s="53">
        <v>0.4798</v>
      </c>
      <c r="J28" s="48">
        <f>(2.86/1000/100/2)*1000</f>
        <v>1.4299999999999998E-2</v>
      </c>
      <c r="K28" s="48">
        <f t="shared" si="3"/>
        <v>13.038043478260871</v>
      </c>
      <c r="L28" s="49">
        <f t="shared" si="4"/>
        <v>911.75129218607503</v>
      </c>
      <c r="M28" s="54">
        <f t="shared" si="5"/>
        <v>89.766136576239489</v>
      </c>
      <c r="N28" s="26">
        <f t="shared" ref="N28" si="9">AVERAGE(H28,M28)</f>
        <v>100</v>
      </c>
      <c r="O28" s="5">
        <f t="shared" si="8"/>
        <v>14.472868449356131</v>
      </c>
      <c r="P28" s="48"/>
      <c r="Q28" s="49"/>
      <c r="R28" s="49"/>
      <c r="U28" s="5"/>
      <c r="V28" s="5"/>
      <c r="W28" s="6"/>
      <c r="X28" s="6"/>
      <c r="Y28" s="6"/>
      <c r="Z28" s="6"/>
      <c r="AA28" s="6"/>
      <c r="AB28" s="26"/>
      <c r="AC28" s="5"/>
      <c r="AD28" s="6"/>
      <c r="AE28" s="6"/>
    </row>
    <row r="29" spans="1:31" ht="15" thickBot="1" x14ac:dyDescent="0.45">
      <c r="A29" s="6"/>
      <c r="B29" s="6"/>
      <c r="C29" s="25"/>
      <c r="D29" s="55"/>
      <c r="E29" s="56"/>
      <c r="F29" s="56"/>
      <c r="G29" s="57"/>
      <c r="H29" s="57"/>
      <c r="I29" s="55"/>
      <c r="J29" s="56"/>
      <c r="K29" s="56"/>
      <c r="L29" s="57"/>
      <c r="M29" s="58"/>
      <c r="N29" s="48"/>
      <c r="O29" s="48"/>
      <c r="P29" s="48"/>
      <c r="Q29" s="49"/>
      <c r="R29" s="49"/>
      <c r="S29" s="5"/>
      <c r="T29" s="5"/>
      <c r="U29" s="5"/>
      <c r="V29" s="5"/>
      <c r="W29" s="6"/>
      <c r="X29" s="6"/>
      <c r="Y29" s="6"/>
      <c r="Z29" s="6"/>
      <c r="AA29" s="6"/>
      <c r="AB29" s="26"/>
      <c r="AC29" s="5"/>
      <c r="AD29" s="6"/>
      <c r="AE29" s="6"/>
    </row>
    <row r="30" spans="1:31" x14ac:dyDescent="0.4">
      <c r="A30" s="6"/>
      <c r="B30" s="5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59"/>
      <c r="O30" s="59"/>
      <c r="P30" s="59"/>
      <c r="Q30" s="59"/>
      <c r="R30" s="59"/>
      <c r="S30" s="6"/>
      <c r="T30" s="6"/>
      <c r="U30" s="6"/>
      <c r="V30" s="6"/>
      <c r="W30" s="6"/>
      <c r="X30" s="6"/>
      <c r="Y30" s="6"/>
      <c r="Z30" s="6"/>
      <c r="AA30" s="6"/>
      <c r="AB30" s="26"/>
      <c r="AC30" s="5"/>
      <c r="AD30" s="6"/>
      <c r="AE30" s="6"/>
    </row>
    <row r="31" spans="1:31" x14ac:dyDescent="0.4">
      <c r="A31" s="6"/>
      <c r="B31" s="6"/>
      <c r="C31" s="25"/>
      <c r="D31" s="25"/>
      <c r="E31" s="25"/>
      <c r="F31" s="25"/>
      <c r="G31" s="45"/>
      <c r="H31" s="45"/>
      <c r="I31" s="6"/>
      <c r="J31" s="6"/>
      <c r="K31" s="6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6"/>
      <c r="AC31" s="47"/>
      <c r="AD31" s="6"/>
      <c r="AE31" s="6"/>
    </row>
    <row r="32" spans="1:31" x14ac:dyDescent="0.4">
      <c r="A32" s="6"/>
      <c r="B32" s="6"/>
      <c r="C32" s="25"/>
      <c r="D32" s="25"/>
      <c r="E32" s="25"/>
      <c r="F32" s="25"/>
      <c r="G32" s="45"/>
      <c r="H32" s="45"/>
      <c r="I32" s="6" t="s">
        <v>57</v>
      </c>
      <c r="J32" s="6"/>
      <c r="K32" s="29">
        <f>AVERAGE(G28,L28)</f>
        <v>1015.6962602614778</v>
      </c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6"/>
      <c r="AC32" s="47"/>
      <c r="AD32" s="6"/>
      <c r="AE32" s="6"/>
    </row>
    <row r="33" spans="1:31" x14ac:dyDescent="0.4">
      <c r="A33" s="6"/>
      <c r="B33" s="6"/>
      <c r="C33" s="25"/>
      <c r="D33" s="25"/>
      <c r="E33" s="25"/>
      <c r="F33" s="25"/>
      <c r="G33" s="45"/>
      <c r="H33" s="45"/>
      <c r="I33" s="47"/>
      <c r="J33" s="48"/>
      <c r="K33" s="48"/>
      <c r="L33" s="48"/>
      <c r="M33" s="48"/>
      <c r="N33" s="49"/>
      <c r="O33" s="49"/>
      <c r="P33" s="48"/>
      <c r="Q33" s="48"/>
      <c r="R33" s="48"/>
      <c r="S33" s="49"/>
      <c r="T33" s="49"/>
      <c r="U33" s="48"/>
      <c r="V33" s="48"/>
      <c r="W33" s="48"/>
      <c r="X33" s="49"/>
      <c r="Y33" s="49"/>
      <c r="Z33" s="48"/>
      <c r="AA33" s="48"/>
      <c r="AB33" s="48"/>
      <c r="AC33" s="48"/>
      <c r="AD33" s="6"/>
      <c r="AE33" s="6"/>
    </row>
    <row r="34" spans="1:31" x14ac:dyDescent="0.4">
      <c r="A34" s="6"/>
      <c r="B34" s="6"/>
      <c r="C34" s="25"/>
      <c r="D34" s="25"/>
      <c r="E34" s="25"/>
      <c r="F34" s="25"/>
      <c r="G34" s="45"/>
      <c r="H34" s="45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6"/>
      <c r="AC34" s="48"/>
      <c r="AD34" s="6"/>
      <c r="AE34" s="6"/>
    </row>
    <row r="35" spans="1:31" x14ac:dyDescent="0.4">
      <c r="A35" s="6"/>
      <c r="B35" s="6"/>
      <c r="C35" s="25"/>
      <c r="D35" s="25"/>
      <c r="E35" s="25"/>
      <c r="F35" s="25"/>
      <c r="G35" s="45"/>
      <c r="H35" s="45"/>
      <c r="I35" s="47"/>
      <c r="J35" s="47"/>
      <c r="K35" s="48"/>
      <c r="L35" s="48"/>
      <c r="M35" s="48"/>
      <c r="N35" s="49"/>
      <c r="O35" s="49"/>
      <c r="P35" s="48"/>
      <c r="Q35" s="48"/>
      <c r="R35" s="48"/>
      <c r="S35" s="49"/>
      <c r="T35" s="49"/>
      <c r="U35" s="48"/>
      <c r="V35" s="48"/>
      <c r="W35" s="48"/>
      <c r="X35" s="49"/>
      <c r="Y35" s="49"/>
      <c r="Z35" s="48"/>
      <c r="AA35" s="48"/>
      <c r="AB35" s="48"/>
      <c r="AC35" s="48"/>
      <c r="AD35" s="6"/>
      <c r="AE35" s="6"/>
    </row>
    <row r="36" spans="1:31" x14ac:dyDescent="0.4">
      <c r="A36" s="6"/>
      <c r="B36" s="6"/>
      <c r="C36" s="25"/>
      <c r="D36" s="25"/>
      <c r="E36" s="25"/>
      <c r="F36" s="25"/>
      <c r="G36" s="45"/>
      <c r="H36" s="45"/>
      <c r="I36" s="47"/>
      <c r="J36" s="47"/>
      <c r="K36" s="48"/>
      <c r="L36" s="48"/>
      <c r="M36" s="48"/>
      <c r="N36" s="49"/>
      <c r="O36" s="49"/>
      <c r="P36" s="48"/>
      <c r="Q36" s="48"/>
      <c r="R36" s="48"/>
      <c r="S36" s="49"/>
      <c r="T36" s="49"/>
      <c r="U36" s="48"/>
      <c r="V36" s="48"/>
      <c r="W36" s="48"/>
      <c r="X36" s="49"/>
      <c r="Y36" s="49"/>
      <c r="Z36" s="47"/>
      <c r="AA36" s="47"/>
      <c r="AB36" s="47"/>
      <c r="AC36" s="47"/>
      <c r="AD36" s="6"/>
      <c r="AE36" s="6"/>
    </row>
    <row r="37" spans="1:31" ht="15" thickBot="1" x14ac:dyDescent="0.45">
      <c r="A37" s="6"/>
      <c r="B37" s="6"/>
      <c r="C37" s="6"/>
      <c r="D37" s="5"/>
      <c r="E37" s="5"/>
      <c r="F37" s="5"/>
      <c r="G37" s="44"/>
      <c r="H37" s="5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</row>
    <row r="38" spans="1:31" ht="15" thickBot="1" x14ac:dyDescent="0.45">
      <c r="A38" s="4" t="s">
        <v>29</v>
      </c>
      <c r="B38" s="3">
        <v>36.799999999999997</v>
      </c>
      <c r="C38" s="2" t="s">
        <v>30</v>
      </c>
      <c r="D38" s="5"/>
      <c r="E38" s="5"/>
      <c r="F38" s="5"/>
      <c r="G38" s="44"/>
      <c r="H38" s="5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</row>
    <row r="39" spans="1:31" x14ac:dyDescent="0.4">
      <c r="A39" s="6"/>
      <c r="B39" s="6"/>
      <c r="C39" s="6"/>
      <c r="D39" s="5"/>
      <c r="E39" s="5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</row>
    <row r="54" spans="25:25" x14ac:dyDescent="0.4">
      <c r="Y54" t="s">
        <v>109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43"/>
  <sheetViews>
    <sheetView topLeftCell="G14" zoomScale="56" workbookViewId="0">
      <selection activeCell="K15" sqref="K15"/>
    </sheetView>
  </sheetViews>
  <sheetFormatPr defaultRowHeight="14.6" x14ac:dyDescent="0.4"/>
  <sheetData>
    <row r="1" spans="1:27" x14ac:dyDescent="0.4">
      <c r="A1" t="s">
        <v>74</v>
      </c>
    </row>
    <row r="3" spans="1:27" ht="15" thickBot="1" x14ac:dyDescent="0.45">
      <c r="A3" s="7">
        <v>2109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1:27" x14ac:dyDescent="0.4">
      <c r="A4" s="5"/>
      <c r="B4" s="5"/>
      <c r="C4" s="5"/>
      <c r="D4" s="50" t="s">
        <v>54</v>
      </c>
      <c r="E4" s="51" t="s">
        <v>31</v>
      </c>
      <c r="F4" s="51" t="s">
        <v>32</v>
      </c>
      <c r="G4" s="51" t="s">
        <v>33</v>
      </c>
      <c r="H4" s="51" t="s">
        <v>35</v>
      </c>
      <c r="I4" s="50" t="s">
        <v>55</v>
      </c>
      <c r="J4" s="51" t="s">
        <v>31</v>
      </c>
      <c r="K4" s="51" t="s">
        <v>32</v>
      </c>
      <c r="L4" s="51" t="s">
        <v>33</v>
      </c>
      <c r="M4" s="52" t="s">
        <v>35</v>
      </c>
      <c r="N4" s="5" t="s">
        <v>52</v>
      </c>
      <c r="O4" s="5" t="s">
        <v>51</v>
      </c>
      <c r="P4" s="47"/>
      <c r="Q4" s="47"/>
      <c r="R4" s="47"/>
      <c r="S4" s="6"/>
      <c r="T4" s="6"/>
      <c r="U4" s="5"/>
      <c r="V4" s="5"/>
      <c r="W4" s="6"/>
      <c r="X4" s="6"/>
      <c r="Y4" s="6"/>
      <c r="Z4" s="6"/>
      <c r="AA4" s="6"/>
    </row>
    <row r="5" spans="1:27" x14ac:dyDescent="0.4">
      <c r="A5" s="5" t="s">
        <v>69</v>
      </c>
      <c r="B5" s="6" t="s">
        <v>75</v>
      </c>
      <c r="C5" s="6"/>
      <c r="D5" s="53">
        <v>0.25130000000000002</v>
      </c>
      <c r="E5" s="48">
        <f>(1/1000/100)*1000</f>
        <v>0.01</v>
      </c>
      <c r="F5" s="48">
        <f>(D5/$B$14)*1000</f>
        <v>6.8288043478260878</v>
      </c>
      <c r="G5" s="49">
        <f>F5/E5</f>
        <v>682.88043478260875</v>
      </c>
      <c r="H5" s="49">
        <f>(G5/$K$14)*100</f>
        <v>67.232740879326471</v>
      </c>
      <c r="I5" s="53">
        <v>0.2621</v>
      </c>
      <c r="J5" s="48">
        <f>(1/1000/100)*1000</f>
        <v>0.01</v>
      </c>
      <c r="K5" s="48">
        <f>(I5/$B$14)*1000</f>
        <v>7.1222826086956523</v>
      </c>
      <c r="L5" s="49">
        <f t="shared" ref="L5:L10" si="0">K5/J5</f>
        <v>712.22826086956525</v>
      </c>
      <c r="M5" s="54">
        <f>(L5/$K$14)*100</f>
        <v>70.122170252572488</v>
      </c>
      <c r="N5" s="26">
        <f>AVERAGE(H5,M5)</f>
        <v>68.677455565949487</v>
      </c>
      <c r="O5" s="5">
        <f>STDEV(H5,M5)</f>
        <v>2.0431351035818546</v>
      </c>
      <c r="P5" s="48"/>
      <c r="Q5" s="49"/>
      <c r="R5" s="49"/>
      <c r="S5" s="6"/>
      <c r="T5" s="6"/>
      <c r="U5" s="5"/>
      <c r="V5" s="5"/>
      <c r="W5" s="6"/>
      <c r="X5" s="6"/>
      <c r="Y5" s="6"/>
      <c r="Z5" s="6"/>
      <c r="AA5" s="6"/>
    </row>
    <row r="6" spans="1:27" x14ac:dyDescent="0.4">
      <c r="A6" s="5"/>
      <c r="B6" s="5" t="s">
        <v>76</v>
      </c>
      <c r="C6" s="25"/>
      <c r="D6" s="53">
        <v>0.27800000000000002</v>
      </c>
      <c r="E6" s="48">
        <f t="shared" ref="E6:E8" si="1">(1/1000/100)*1000</f>
        <v>0.01</v>
      </c>
      <c r="F6" s="48">
        <f>(D6/$B$14)*1000</f>
        <v>7.5543478260869579</v>
      </c>
      <c r="G6" s="49">
        <f>F6/E6</f>
        <v>755.43478260869574</v>
      </c>
      <c r="H6" s="49">
        <f t="shared" ref="H6:H8" si="2">(G6/$K$14)*100</f>
        <v>74.376052385406922</v>
      </c>
      <c r="I6" s="53">
        <v>0.25950000000000001</v>
      </c>
      <c r="J6" s="48">
        <f t="shared" ref="J6:J8" si="3">(1/1000/100)*1000</f>
        <v>0.01</v>
      </c>
      <c r="K6" s="48">
        <f>(I6/$B$14)*1000</f>
        <v>7.0516304347826102</v>
      </c>
      <c r="L6" s="49">
        <f t="shared" si="0"/>
        <v>705.16304347826099</v>
      </c>
      <c r="M6" s="54">
        <f t="shared" ref="M6:M8" si="4">(L6/$K$14)*100</f>
        <v>69.426566884939191</v>
      </c>
      <c r="N6" s="26">
        <f>AVERAGE(H6,M6)</f>
        <v>71.90130963517305</v>
      </c>
      <c r="O6" s="5">
        <f>STDEV(H6,M6)</f>
        <v>3.4998147607652252</v>
      </c>
      <c r="P6" s="48"/>
      <c r="Q6" s="49"/>
      <c r="R6" s="49"/>
      <c r="S6" s="6"/>
      <c r="T6" s="6"/>
      <c r="U6" s="5"/>
      <c r="V6" s="5"/>
      <c r="W6" s="6"/>
      <c r="X6" s="6"/>
      <c r="Y6" s="6"/>
      <c r="Z6" s="6"/>
      <c r="AA6" s="6"/>
    </row>
    <row r="7" spans="1:27" x14ac:dyDescent="0.4">
      <c r="A7" s="5"/>
      <c r="B7" s="5" t="s">
        <v>77</v>
      </c>
      <c r="C7" s="25"/>
      <c r="D7" s="53">
        <v>0.2742</v>
      </c>
      <c r="E7" s="48">
        <f t="shared" si="1"/>
        <v>0.01</v>
      </c>
      <c r="F7" s="48">
        <f>(D7/$B$14)*1000</f>
        <v>7.4510869565217392</v>
      </c>
      <c r="G7" s="49">
        <f t="shared" ref="G7" si="5">F7/E7</f>
        <v>745.10869565217388</v>
      </c>
      <c r="H7" s="49">
        <f t="shared" si="2"/>
        <v>73.359401309635146</v>
      </c>
      <c r="I7" s="53">
        <v>0.3</v>
      </c>
      <c r="J7" s="48">
        <f t="shared" si="3"/>
        <v>0.01</v>
      </c>
      <c r="K7" s="48">
        <f>(I7/$B$14)*1000</f>
        <v>8.1521739130434785</v>
      </c>
      <c r="L7" s="49">
        <f t="shared" si="0"/>
        <v>815.21739130434787</v>
      </c>
      <c r="M7" s="54">
        <f t="shared" si="4"/>
        <v>80.261927034611773</v>
      </c>
      <c r="N7" s="26">
        <f>AVERAGE(H7,M7)</f>
        <v>76.810664172123467</v>
      </c>
      <c r="O7" s="5">
        <f>STDEV(H7,M7)</f>
        <v>4.8808227474455634</v>
      </c>
      <c r="P7" s="48"/>
      <c r="Q7" s="49"/>
      <c r="R7" s="49"/>
      <c r="S7" s="6"/>
      <c r="T7" s="6"/>
      <c r="U7" s="5"/>
      <c r="V7" s="5"/>
      <c r="W7" s="6"/>
      <c r="X7" s="6"/>
      <c r="Y7" s="6"/>
      <c r="Z7" s="6"/>
      <c r="AA7" s="6"/>
    </row>
    <row r="8" spans="1:27" x14ac:dyDescent="0.4">
      <c r="A8" s="5"/>
      <c r="B8" s="5" t="s">
        <v>78</v>
      </c>
      <c r="C8" s="25"/>
      <c r="D8" s="53">
        <v>0.27379999999999999</v>
      </c>
      <c r="E8" s="48">
        <f t="shared" si="1"/>
        <v>0.01</v>
      </c>
      <c r="F8" s="48">
        <f>(D8/$B$14)*1000</f>
        <v>7.4402173913043486</v>
      </c>
      <c r="G8" s="49">
        <f>F8/E8</f>
        <v>744.02173913043487</v>
      </c>
      <c r="H8" s="49">
        <f t="shared" si="2"/>
        <v>73.252385406922343</v>
      </c>
      <c r="I8" s="53">
        <v>0.24690000000000001</v>
      </c>
      <c r="J8" s="48">
        <f t="shared" si="3"/>
        <v>0.01</v>
      </c>
      <c r="K8" s="48">
        <f>(I8/$B$14)*1000</f>
        <v>6.7092391304347831</v>
      </c>
      <c r="L8" s="49">
        <f t="shared" si="0"/>
        <v>670.92391304347825</v>
      </c>
      <c r="M8" s="54">
        <f t="shared" si="4"/>
        <v>66.055565949485484</v>
      </c>
      <c r="N8" s="26">
        <f>AVERAGE(H8,M8)</f>
        <v>69.653975678203921</v>
      </c>
      <c r="O8" s="5">
        <f>STDEV(H8,M8)</f>
        <v>5.0889198413288934</v>
      </c>
      <c r="P8" s="48"/>
      <c r="Q8" s="49"/>
      <c r="R8" s="49"/>
      <c r="S8" s="6"/>
      <c r="T8" s="6"/>
      <c r="U8" s="5"/>
      <c r="V8" s="5"/>
      <c r="W8" s="6"/>
      <c r="X8" s="6"/>
      <c r="Y8" s="6"/>
      <c r="Z8" s="6"/>
      <c r="AA8" s="6"/>
    </row>
    <row r="9" spans="1:27" x14ac:dyDescent="0.4">
      <c r="A9" s="5"/>
      <c r="B9" s="5"/>
      <c r="C9" s="25"/>
      <c r="D9" s="53"/>
      <c r="E9" s="48"/>
      <c r="F9" s="48"/>
      <c r="G9" s="49"/>
      <c r="H9" s="49"/>
      <c r="I9" s="53"/>
      <c r="J9" s="48"/>
      <c r="K9" s="48"/>
      <c r="L9" s="49"/>
      <c r="M9" s="54"/>
      <c r="N9" s="26"/>
      <c r="O9" s="5"/>
      <c r="P9" s="48"/>
      <c r="Q9" s="49"/>
      <c r="R9" s="49"/>
      <c r="S9" s="6"/>
      <c r="T9" s="6"/>
      <c r="U9" s="5"/>
      <c r="V9" s="5"/>
      <c r="W9" s="6"/>
      <c r="X9" s="6"/>
      <c r="Y9" s="6"/>
      <c r="Z9" s="6"/>
      <c r="AA9" s="6"/>
    </row>
    <row r="10" spans="1:27" x14ac:dyDescent="0.4">
      <c r="A10" s="5"/>
      <c r="B10" s="5" t="s">
        <v>47</v>
      </c>
      <c r="C10" s="6" t="s">
        <v>36</v>
      </c>
      <c r="D10" s="53">
        <v>0.58919999999999995</v>
      </c>
      <c r="E10" s="48">
        <f>(2.86/1000/100/2)*1000</f>
        <v>1.4299999999999998E-2</v>
      </c>
      <c r="F10" s="48">
        <f>(D10/$B$14)*1000</f>
        <v>16.010869565217391</v>
      </c>
      <c r="G10" s="49">
        <f>F10/E10</f>
        <v>1119.6412283368807</v>
      </c>
      <c r="H10" s="49">
        <f>(G10/$K$14)*100</f>
        <v>110.23386342376051</v>
      </c>
      <c r="I10" s="53">
        <v>0.4798</v>
      </c>
      <c r="J10" s="48">
        <f>(2.86/1000/100/2)*1000</f>
        <v>1.4299999999999998E-2</v>
      </c>
      <c r="K10" s="48">
        <f>(I10/$B$14)*1000</f>
        <v>13.038043478260871</v>
      </c>
      <c r="L10" s="49">
        <f t="shared" si="0"/>
        <v>911.75129218607503</v>
      </c>
      <c r="M10" s="54">
        <f>(L10/$K$14)*100</f>
        <v>89.766136576239489</v>
      </c>
      <c r="N10" s="26">
        <f t="shared" ref="N10" si="6">AVERAGE(H10,M10)</f>
        <v>100</v>
      </c>
      <c r="O10" s="5">
        <f t="shared" ref="O10" si="7">STDEV(H10,M10)</f>
        <v>14.472868449356131</v>
      </c>
      <c r="P10" s="48"/>
      <c r="Q10" s="49"/>
      <c r="R10" s="49"/>
      <c r="S10" s="6"/>
      <c r="T10" s="6"/>
      <c r="U10" s="5"/>
      <c r="V10" s="5"/>
      <c r="W10" s="6"/>
      <c r="X10" s="6"/>
      <c r="Y10" s="6"/>
      <c r="Z10" s="6"/>
      <c r="AA10" s="6"/>
    </row>
    <row r="11" spans="1:27" ht="15" thickBot="1" x14ac:dyDescent="0.45">
      <c r="A11" s="6"/>
      <c r="B11" s="6"/>
      <c r="C11" s="25"/>
      <c r="D11" s="55"/>
      <c r="E11" s="56"/>
      <c r="F11" s="56"/>
      <c r="G11" s="57"/>
      <c r="H11" s="57"/>
      <c r="I11" s="55"/>
      <c r="J11" s="56"/>
      <c r="K11" s="56"/>
      <c r="L11" s="57"/>
      <c r="M11" s="58"/>
      <c r="N11" s="48"/>
      <c r="O11" s="48"/>
      <c r="P11" s="48"/>
      <c r="Q11" s="49"/>
      <c r="R11" s="49"/>
      <c r="S11" s="5"/>
      <c r="T11" s="5"/>
      <c r="U11" s="5"/>
      <c r="V11" s="5"/>
      <c r="W11" s="6"/>
      <c r="X11" s="6"/>
      <c r="Y11" s="6"/>
      <c r="Z11" s="6"/>
      <c r="AA11" s="6"/>
    </row>
    <row r="12" spans="1:27" x14ac:dyDescent="0.4">
      <c r="A12" s="6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59"/>
      <c r="O12" s="59"/>
      <c r="P12" s="59"/>
      <c r="Q12" s="59"/>
      <c r="R12" s="59"/>
      <c r="S12" s="6"/>
      <c r="T12" s="6"/>
      <c r="U12" s="6"/>
      <c r="V12" s="6"/>
      <c r="W12" s="6"/>
      <c r="X12" s="6"/>
      <c r="Y12" s="6"/>
      <c r="Z12" s="6"/>
      <c r="AA12" s="6"/>
    </row>
    <row r="13" spans="1:27" ht="15" thickBot="1" x14ac:dyDescent="0.45">
      <c r="A13" s="6"/>
      <c r="B13" s="6"/>
      <c r="C13" s="25"/>
      <c r="D13" s="25"/>
      <c r="E13" s="25"/>
      <c r="F13" s="25"/>
      <c r="G13" s="45"/>
      <c r="H13" s="45"/>
      <c r="I13" s="6"/>
      <c r="J13" s="6"/>
      <c r="K13" s="6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</row>
    <row r="14" spans="1:27" ht="15" thickBot="1" x14ac:dyDescent="0.45">
      <c r="A14" s="4" t="s">
        <v>29</v>
      </c>
      <c r="B14" s="3">
        <v>36.799999999999997</v>
      </c>
      <c r="C14" s="2" t="s">
        <v>30</v>
      </c>
      <c r="D14" s="25"/>
      <c r="E14" s="25"/>
      <c r="F14" s="25"/>
      <c r="G14" s="45"/>
      <c r="H14" s="45"/>
      <c r="I14" s="6" t="s">
        <v>57</v>
      </c>
      <c r="J14" s="6"/>
      <c r="K14" s="29">
        <f>AVERAGE(G10,L10)</f>
        <v>1015.6962602614778</v>
      </c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</row>
    <row r="15" spans="1:27" x14ac:dyDescent="0.4">
      <c r="A15" s="6"/>
      <c r="B15" s="6"/>
      <c r="C15" s="25"/>
      <c r="D15" s="25"/>
      <c r="E15" s="25"/>
      <c r="F15" s="25"/>
      <c r="G15" s="45"/>
      <c r="H15" s="45"/>
      <c r="I15" s="47" t="s">
        <v>108</v>
      </c>
      <c r="J15" s="48"/>
      <c r="K15" s="48">
        <f>AVERAGE(D10/E10,I10/J10)</f>
        <v>37.37762237762238</v>
      </c>
      <c r="L15" s="48"/>
      <c r="M15" s="48"/>
      <c r="N15" s="49"/>
      <c r="O15" s="49"/>
      <c r="P15" s="48"/>
      <c r="Q15" s="48"/>
      <c r="R15" s="48"/>
      <c r="S15" s="49"/>
      <c r="T15" s="49"/>
      <c r="U15" s="48"/>
      <c r="V15" s="48"/>
      <c r="W15" s="48"/>
      <c r="X15" s="49"/>
      <c r="Y15" s="49"/>
      <c r="Z15" s="48"/>
      <c r="AA15" s="48"/>
    </row>
    <row r="16" spans="1:27" x14ac:dyDescent="0.4">
      <c r="A16" s="6"/>
      <c r="B16" s="6"/>
      <c r="C16" s="25"/>
      <c r="D16" s="25"/>
      <c r="E16" s="25"/>
      <c r="F16" s="25"/>
      <c r="G16" s="45"/>
      <c r="H16" s="45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</row>
    <row r="17" spans="1:27" x14ac:dyDescent="0.4">
      <c r="A17" s="6"/>
      <c r="B17" s="6"/>
      <c r="C17" s="25"/>
      <c r="D17" s="25"/>
      <c r="E17" s="25"/>
      <c r="F17" s="25"/>
      <c r="G17" s="45"/>
      <c r="H17" s="45"/>
      <c r="I17" s="47"/>
      <c r="J17" s="47"/>
      <c r="K17" s="48"/>
      <c r="L17" s="48"/>
      <c r="M17" s="48"/>
      <c r="N17" s="49"/>
      <c r="O17" s="49"/>
      <c r="P17" s="48"/>
      <c r="Q17" s="48"/>
      <c r="R17" s="48"/>
      <c r="S17" s="49"/>
      <c r="T17" s="49"/>
      <c r="U17" s="48"/>
      <c r="V17" s="48"/>
      <c r="W17" s="48"/>
      <c r="X17" s="49"/>
      <c r="Y17" s="49"/>
      <c r="Z17" s="48"/>
      <c r="AA17" s="48"/>
    </row>
    <row r="18" spans="1:27" ht="15" thickBot="1" x14ac:dyDescent="0.45">
      <c r="A18" s="7">
        <v>2109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48"/>
      <c r="Q18" s="48"/>
      <c r="R18" s="48"/>
      <c r="S18" s="49"/>
      <c r="T18" s="49"/>
      <c r="U18" s="48"/>
      <c r="V18" s="48"/>
      <c r="W18" s="48"/>
      <c r="X18" s="49"/>
      <c r="Y18" s="49"/>
      <c r="Z18" s="47"/>
      <c r="AA18" s="47"/>
    </row>
    <row r="19" spans="1:27" x14ac:dyDescent="0.4">
      <c r="A19" s="5"/>
      <c r="B19" s="5"/>
      <c r="C19" s="5"/>
      <c r="D19" s="50" t="s">
        <v>54</v>
      </c>
      <c r="E19" s="51" t="s">
        <v>31</v>
      </c>
      <c r="F19" s="51" t="s">
        <v>32</v>
      </c>
      <c r="G19" s="51" t="s">
        <v>33</v>
      </c>
      <c r="H19" s="51" t="s">
        <v>35</v>
      </c>
      <c r="I19" s="50" t="s">
        <v>55</v>
      </c>
      <c r="J19" s="51" t="s">
        <v>31</v>
      </c>
      <c r="K19" s="51" t="s">
        <v>32</v>
      </c>
      <c r="L19" s="51" t="s">
        <v>33</v>
      </c>
      <c r="M19" s="52" t="s">
        <v>35</v>
      </c>
      <c r="N19" s="5" t="s">
        <v>52</v>
      </c>
      <c r="O19" s="5" t="s">
        <v>51</v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x14ac:dyDescent="0.4">
      <c r="A20" s="5" t="s">
        <v>70</v>
      </c>
      <c r="B20" s="6">
        <v>1</v>
      </c>
      <c r="C20" s="6"/>
      <c r="D20" s="53">
        <v>0.26900000000000002</v>
      </c>
      <c r="E20" s="48">
        <f>(1/1000/100)*1000</f>
        <v>0.01</v>
      </c>
      <c r="F20" s="48">
        <f>(D20/$B$14)*1000</f>
        <v>7.3097826086956532</v>
      </c>
      <c r="G20" s="49">
        <f>F20/E20</f>
        <v>730.97826086956536</v>
      </c>
      <c r="H20" s="49">
        <f>(G20/$K$14)*100</f>
        <v>71.968194574368567</v>
      </c>
      <c r="I20" s="53">
        <v>0.25430000000000003</v>
      </c>
      <c r="J20" s="48">
        <f>(1/1000/100)*1000</f>
        <v>0.01</v>
      </c>
      <c r="K20" s="48">
        <f>(I20/$B$14)*1000</f>
        <v>6.9103260869565233</v>
      </c>
      <c r="L20" s="49">
        <f t="shared" ref="L20:L23" si="8">K20/J20</f>
        <v>691.03260869565236</v>
      </c>
      <c r="M20" s="54">
        <f>(L20/$K$14)*100</f>
        <v>68.035360149672599</v>
      </c>
      <c r="N20" s="26">
        <f>AVERAGE(H20,M20)</f>
        <v>70.00177736202059</v>
      </c>
      <c r="O20" s="5">
        <f>STDEV(H20,M20)</f>
        <v>2.7809338909864141</v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1" spans="1:27" x14ac:dyDescent="0.4">
      <c r="A21" s="5"/>
      <c r="B21" s="5">
        <v>2</v>
      </c>
      <c r="C21" s="25"/>
      <c r="D21" s="53">
        <v>0.25580000000000003</v>
      </c>
      <c r="E21" s="48">
        <f t="shared" ref="E21:E23" si="9">(1/1000/100)*1000</f>
        <v>0.01</v>
      </c>
      <c r="F21" s="48">
        <f>(D21/$B$14)*1000</f>
        <v>6.951086956521741</v>
      </c>
      <c r="G21" s="49">
        <f>F21/E21</f>
        <v>695.10869565217411</v>
      </c>
      <c r="H21" s="49">
        <f t="shared" ref="H21:H23" si="10">(G21/$K$14)*100</f>
        <v>68.436669784845662</v>
      </c>
      <c r="I21" s="53">
        <v>0.24179999999999999</v>
      </c>
      <c r="J21" s="48">
        <f t="shared" ref="J21:J23" si="11">(1/1000/100)*1000</f>
        <v>0.01</v>
      </c>
      <c r="K21" s="48">
        <f>(I21/$B$14)*1000</f>
        <v>6.570652173913043</v>
      </c>
      <c r="L21" s="49">
        <f t="shared" si="8"/>
        <v>657.06521739130426</v>
      </c>
      <c r="M21" s="54">
        <f t="shared" ref="M21:M23" si="12">(L21/$K$14)*100</f>
        <v>64.691113189897081</v>
      </c>
      <c r="N21" s="26">
        <f>AVERAGE(H21,M21)</f>
        <v>66.563891487371365</v>
      </c>
      <c r="O21" s="5">
        <f>STDEV(H21,M21)</f>
        <v>2.6485084676061366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</row>
    <row r="22" spans="1:27" x14ac:dyDescent="0.4">
      <c r="A22" s="5"/>
      <c r="B22" s="5">
        <v>3</v>
      </c>
      <c r="C22" s="25"/>
      <c r="D22" s="53">
        <v>0.27579999999999999</v>
      </c>
      <c r="E22" s="48">
        <f t="shared" si="9"/>
        <v>0.01</v>
      </c>
      <c r="F22" s="48">
        <f>(D22/$B$14)*1000</f>
        <v>7.4945652173913047</v>
      </c>
      <c r="G22" s="49">
        <f t="shared" ref="G22" si="13">F22/E22</f>
        <v>749.45652173913049</v>
      </c>
      <c r="H22" s="49">
        <f t="shared" si="10"/>
        <v>73.787464920486428</v>
      </c>
      <c r="I22" s="53">
        <v>0.2641</v>
      </c>
      <c r="J22" s="48">
        <f t="shared" si="11"/>
        <v>0.01</v>
      </c>
      <c r="K22" s="48">
        <f>(I22/$B$14)*1000</f>
        <v>7.1766304347826093</v>
      </c>
      <c r="L22" s="49">
        <f t="shared" si="8"/>
        <v>717.66304347826087</v>
      </c>
      <c r="M22" s="54">
        <f t="shared" si="12"/>
        <v>70.657249766136559</v>
      </c>
      <c r="N22" s="26">
        <f>AVERAGE(H22,M22)</f>
        <v>72.222357343311501</v>
      </c>
      <c r="O22" s="5">
        <f>STDEV(H22,M22)</f>
        <v>2.2133963622136883</v>
      </c>
    </row>
    <row r="23" spans="1:27" x14ac:dyDescent="0.4">
      <c r="A23" s="5"/>
      <c r="B23" s="5">
        <v>4</v>
      </c>
      <c r="C23" s="25"/>
      <c r="D23" s="53">
        <v>0.24079999999999999</v>
      </c>
      <c r="E23" s="48">
        <f t="shared" si="9"/>
        <v>0.01</v>
      </c>
      <c r="F23" s="48">
        <f>(D23/$B$14)*1000</f>
        <v>6.5434782608695654</v>
      </c>
      <c r="G23" s="49">
        <f>F23/E23</f>
        <v>654.3478260869565</v>
      </c>
      <c r="H23" s="49">
        <f t="shared" si="10"/>
        <v>64.423573433115038</v>
      </c>
      <c r="I23" s="53">
        <v>0.2482</v>
      </c>
      <c r="J23" s="48">
        <f t="shared" si="11"/>
        <v>0.01</v>
      </c>
      <c r="K23" s="48">
        <f>(I23/$B$14)*1000</f>
        <v>6.7445652173913047</v>
      </c>
      <c r="L23" s="49">
        <f t="shared" si="8"/>
        <v>674.45652173913049</v>
      </c>
      <c r="M23" s="54">
        <f t="shared" si="12"/>
        <v>66.403367633302139</v>
      </c>
      <c r="N23" s="26">
        <f>AVERAGE(H23,M23)</f>
        <v>65.413470533208596</v>
      </c>
      <c r="O23" s="5">
        <f>STDEV(H23,M23)</f>
        <v>1.3999259043060961</v>
      </c>
    </row>
    <row r="24" spans="1:27" x14ac:dyDescent="0.4">
      <c r="A24" s="5"/>
      <c r="B24" s="5"/>
      <c r="C24" s="25"/>
      <c r="D24" s="53"/>
      <c r="E24" s="48"/>
      <c r="F24" s="48"/>
      <c r="G24" s="49"/>
      <c r="H24" s="49"/>
      <c r="I24" s="53"/>
      <c r="J24" s="48"/>
      <c r="K24" s="48"/>
      <c r="L24" s="49"/>
      <c r="M24" s="54"/>
      <c r="N24" s="26"/>
      <c r="O24" s="5"/>
    </row>
    <row r="25" spans="1:27" x14ac:dyDescent="0.4">
      <c r="A25" s="5"/>
      <c r="B25" s="5" t="s">
        <v>36</v>
      </c>
      <c r="C25" s="6"/>
      <c r="D25" s="53">
        <v>0.58919999999999995</v>
      </c>
      <c r="E25" s="48">
        <f>(2.86/1000/100/2)*1000</f>
        <v>1.4299999999999998E-2</v>
      </c>
      <c r="F25" s="48">
        <f>(D25/$B$14)*1000</f>
        <v>16.010869565217391</v>
      </c>
      <c r="G25" s="49">
        <f>F25/E25</f>
        <v>1119.6412283368807</v>
      </c>
      <c r="H25" s="49">
        <f>(G25/$K$14)*100</f>
        <v>110.23386342376051</v>
      </c>
      <c r="I25" s="53">
        <v>0.4798</v>
      </c>
      <c r="J25" s="48">
        <f>(2.86/1000/100/2)*1000</f>
        <v>1.4299999999999998E-2</v>
      </c>
      <c r="K25" s="48">
        <f>(I25/$B$14)*1000</f>
        <v>13.038043478260871</v>
      </c>
      <c r="L25" s="49">
        <f>K25/J25</f>
        <v>911.75129218607503</v>
      </c>
      <c r="M25" s="54">
        <f>(L25/$K$14)*100</f>
        <v>89.766136576239489</v>
      </c>
      <c r="N25" s="26">
        <f>AVERAGE(H25,M25)</f>
        <v>100</v>
      </c>
      <c r="O25" s="5">
        <f t="shared" ref="O25" si="14">STDEV(H25,M25)</f>
        <v>14.472868449356131</v>
      </c>
    </row>
    <row r="26" spans="1:27" ht="15" thickBot="1" x14ac:dyDescent="0.45">
      <c r="A26" s="6"/>
      <c r="B26" s="6"/>
      <c r="C26" s="25"/>
      <c r="D26" s="55"/>
      <c r="E26" s="56"/>
      <c r="F26" s="56"/>
      <c r="G26" s="57"/>
      <c r="H26" s="57"/>
      <c r="I26" s="55"/>
      <c r="J26" s="56"/>
      <c r="K26" s="56"/>
      <c r="L26" s="57"/>
      <c r="M26" s="58"/>
      <c r="N26" s="48"/>
      <c r="O26" s="48"/>
    </row>
    <row r="27" spans="1:27" x14ac:dyDescent="0.4">
      <c r="A27" s="6"/>
      <c r="B27" s="5"/>
      <c r="C27" s="5"/>
      <c r="D27" s="6"/>
      <c r="E27" s="6"/>
      <c r="F27" s="6"/>
      <c r="G27" s="6"/>
      <c r="H27" s="6"/>
      <c r="I27" s="6"/>
      <c r="J27" s="6"/>
      <c r="K27" s="6"/>
      <c r="L27" s="6"/>
      <c r="M27" s="6"/>
      <c r="N27" s="59"/>
      <c r="O27" s="59"/>
    </row>
    <row r="28" spans="1:27" x14ac:dyDescent="0.4">
      <c r="A28" s="6"/>
      <c r="B28" s="6"/>
      <c r="C28" s="25"/>
      <c r="D28" s="25"/>
      <c r="E28" s="25"/>
      <c r="F28" s="25"/>
      <c r="G28" s="45"/>
      <c r="H28" s="45"/>
      <c r="I28" s="6"/>
      <c r="J28" s="6"/>
      <c r="K28" s="6"/>
      <c r="L28" s="47"/>
      <c r="M28" s="47"/>
      <c r="N28" s="47"/>
      <c r="O28" s="47"/>
    </row>
    <row r="29" spans="1:27" x14ac:dyDescent="0.4">
      <c r="A29" s="6"/>
      <c r="B29" s="6"/>
      <c r="C29" s="25"/>
      <c r="D29" s="25"/>
      <c r="E29" s="25"/>
      <c r="F29" s="25"/>
      <c r="G29" s="45"/>
      <c r="H29" s="45"/>
      <c r="I29" s="5"/>
      <c r="J29" s="5"/>
      <c r="K29" s="26"/>
      <c r="L29" s="47"/>
      <c r="M29" s="47"/>
      <c r="N29" s="47"/>
      <c r="O29" s="47"/>
    </row>
    <row r="31" spans="1:27" ht="15" thickBot="1" x14ac:dyDescent="0.45">
      <c r="A31" s="7">
        <v>2109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27" x14ac:dyDescent="0.4">
      <c r="A32" s="5"/>
      <c r="B32" s="5"/>
      <c r="C32" s="5"/>
      <c r="D32" s="50" t="s">
        <v>54</v>
      </c>
      <c r="E32" s="51" t="s">
        <v>31</v>
      </c>
      <c r="F32" s="51" t="s">
        <v>32</v>
      </c>
      <c r="G32" s="51" t="s">
        <v>33</v>
      </c>
      <c r="H32" s="51" t="s">
        <v>35</v>
      </c>
      <c r="I32" s="50" t="s">
        <v>55</v>
      </c>
      <c r="J32" s="51" t="s">
        <v>31</v>
      </c>
      <c r="K32" s="51" t="s">
        <v>32</v>
      </c>
      <c r="L32" s="51" t="s">
        <v>33</v>
      </c>
      <c r="M32" s="52" t="s">
        <v>35</v>
      </c>
      <c r="N32" s="5" t="s">
        <v>52</v>
      </c>
      <c r="O32" s="5" t="s">
        <v>51</v>
      </c>
    </row>
    <row r="33" spans="1:15" x14ac:dyDescent="0.4">
      <c r="A33" s="5" t="s">
        <v>71</v>
      </c>
      <c r="B33" s="6">
        <v>1</v>
      </c>
      <c r="C33" s="6"/>
      <c r="D33" s="53">
        <v>0.22950000000000001</v>
      </c>
      <c r="E33" s="48">
        <f>(1/1000/100)*1000</f>
        <v>0.01</v>
      </c>
      <c r="F33" s="48">
        <f>(D33/$B$14)*1000</f>
        <v>6.2364130434782616</v>
      </c>
      <c r="G33" s="49">
        <f>F33/E33</f>
        <v>623.64130434782612</v>
      </c>
      <c r="H33" s="49">
        <f>(G33/$K$14)*100</f>
        <v>61.400374181478014</v>
      </c>
      <c r="I33" s="53">
        <v>0.20530000000000001</v>
      </c>
      <c r="J33" s="48">
        <f>(1/1000/100)*1000</f>
        <v>0.01</v>
      </c>
      <c r="K33" s="48">
        <f>(I33/$B$14)*1000</f>
        <v>5.5788043478260878</v>
      </c>
      <c r="L33" s="49">
        <f t="shared" ref="L33:L36" si="15">K33/J33</f>
        <v>557.88043478260875</v>
      </c>
      <c r="M33" s="54">
        <f>(L33/$K$14)*100</f>
        <v>54.925912067352655</v>
      </c>
      <c r="N33" s="26">
        <f>AVERAGE(H33,M33)</f>
        <v>58.163143124415335</v>
      </c>
      <c r="O33" s="5">
        <f>STDEV(H33,M33)</f>
        <v>4.5781360654334318</v>
      </c>
    </row>
    <row r="34" spans="1:15" x14ac:dyDescent="0.4">
      <c r="A34" s="5"/>
      <c r="B34" s="5">
        <v>2</v>
      </c>
      <c r="C34" s="25"/>
      <c r="D34" s="53">
        <v>0.2356</v>
      </c>
      <c r="E34" s="48">
        <f t="shared" ref="E34:E36" si="16">(1/1000/100)*1000</f>
        <v>0.01</v>
      </c>
      <c r="F34" s="48">
        <f>(D34/$B$14)*1000</f>
        <v>6.4021739130434794</v>
      </c>
      <c r="G34" s="49">
        <f>F34/E34</f>
        <v>640.21739130434787</v>
      </c>
      <c r="H34" s="49">
        <f t="shared" ref="H34:H36" si="17">(G34/$K$14)*100</f>
        <v>63.032366697848452</v>
      </c>
      <c r="I34" s="53">
        <v>0.23400000000000001</v>
      </c>
      <c r="J34" s="48">
        <f t="shared" ref="J34:J36" si="18">(1/1000/100)*1000</f>
        <v>0.01</v>
      </c>
      <c r="K34" s="48">
        <f>(I34/$B$14)*1000</f>
        <v>6.358695652173914</v>
      </c>
      <c r="L34" s="49">
        <f t="shared" si="15"/>
        <v>635.86956521739137</v>
      </c>
      <c r="M34" s="54">
        <f>(L34/$K$14)*100</f>
        <v>62.604303086997191</v>
      </c>
      <c r="N34" s="26">
        <f>AVERAGE(H34,M34)</f>
        <v>62.818334892422826</v>
      </c>
      <c r="O34" s="5">
        <f>STDEV(H34,M34)</f>
        <v>0.30268668201212606</v>
      </c>
    </row>
    <row r="35" spans="1:15" x14ac:dyDescent="0.4">
      <c r="A35" s="5"/>
      <c r="B35" s="5">
        <v>3</v>
      </c>
      <c r="C35" s="25"/>
      <c r="D35" s="53">
        <v>0.24709999999999999</v>
      </c>
      <c r="E35" s="48">
        <f t="shared" si="16"/>
        <v>0.01</v>
      </c>
      <c r="F35" s="48">
        <f>(D35/$B$14)*1000</f>
        <v>6.7146739130434785</v>
      </c>
      <c r="G35" s="49">
        <f t="shared" ref="G35" si="19">F35/E35</f>
        <v>671.46739130434787</v>
      </c>
      <c r="H35" s="49">
        <f t="shared" si="17"/>
        <v>66.109073900841892</v>
      </c>
      <c r="I35" s="53">
        <v>0.2427</v>
      </c>
      <c r="J35" s="48">
        <f t="shared" si="18"/>
        <v>0.01</v>
      </c>
      <c r="K35" s="48">
        <f>(I35/$B$14)*1000</f>
        <v>6.5951086956521747</v>
      </c>
      <c r="L35" s="49">
        <f t="shared" si="15"/>
        <v>659.51086956521749</v>
      </c>
      <c r="M35" s="54">
        <f t="shared" ref="M35:M36" si="20">(L35/$K$14)*100</f>
        <v>64.931898971000933</v>
      </c>
      <c r="N35" s="26">
        <f>AVERAGE(H35,M35)</f>
        <v>65.520486435921413</v>
      </c>
      <c r="O35" s="5">
        <f>STDEV(H35,M35)</f>
        <v>0.83238837553334033</v>
      </c>
    </row>
    <row r="36" spans="1:15" x14ac:dyDescent="0.4">
      <c r="A36" s="5"/>
      <c r="B36" s="5">
        <v>4</v>
      </c>
      <c r="C36" s="25"/>
      <c r="D36" s="53">
        <v>0.2843</v>
      </c>
      <c r="E36" s="48">
        <f t="shared" si="16"/>
        <v>0.01</v>
      </c>
      <c r="F36" s="48">
        <f>(D36/$B$14)*1000</f>
        <v>7.7255434782608701</v>
      </c>
      <c r="G36" s="49">
        <f>F36/E36</f>
        <v>772.554347826087</v>
      </c>
      <c r="H36" s="49">
        <f t="shared" si="17"/>
        <v>76.061552853133762</v>
      </c>
      <c r="I36" s="53">
        <v>0.27050000000000002</v>
      </c>
      <c r="J36" s="48">
        <f t="shared" si="18"/>
        <v>0.01</v>
      </c>
      <c r="K36" s="48">
        <f>(I36/$B$14)*1000</f>
        <v>7.3505434782608701</v>
      </c>
      <c r="L36" s="49">
        <f t="shared" si="15"/>
        <v>735.054347826087</v>
      </c>
      <c r="M36" s="54">
        <f t="shared" si="20"/>
        <v>72.369504209541617</v>
      </c>
      <c r="N36" s="26">
        <f>AVERAGE(H36,M36)</f>
        <v>74.215528531337696</v>
      </c>
      <c r="O36" s="5">
        <f>STDEV(H36,M36)</f>
        <v>2.6106726323546003</v>
      </c>
    </row>
    <row r="37" spans="1:15" x14ac:dyDescent="0.4">
      <c r="A37" s="5"/>
      <c r="B37" s="5"/>
      <c r="C37" s="25"/>
      <c r="D37" s="53"/>
      <c r="E37" s="48"/>
      <c r="F37" s="48"/>
      <c r="G37" s="49"/>
      <c r="H37" s="49"/>
      <c r="I37" s="53"/>
      <c r="J37" s="48"/>
      <c r="K37" s="48"/>
      <c r="L37" s="49"/>
      <c r="M37" s="54"/>
      <c r="N37" s="26"/>
      <c r="O37" s="5"/>
    </row>
    <row r="38" spans="1:15" x14ac:dyDescent="0.4">
      <c r="A38" s="5"/>
      <c r="B38" s="5" t="s">
        <v>36</v>
      </c>
      <c r="C38" s="6"/>
      <c r="D38" s="53">
        <v>0.58919999999999995</v>
      </c>
      <c r="E38" s="48">
        <f>(2.86/1000/100/2)*1000</f>
        <v>1.4299999999999998E-2</v>
      </c>
      <c r="F38" s="48">
        <f>(D38/$B$14)*1000</f>
        <v>16.010869565217391</v>
      </c>
      <c r="G38" s="49">
        <f>F38/E38</f>
        <v>1119.6412283368807</v>
      </c>
      <c r="H38" s="49">
        <f>(G38/$K$14)*100</f>
        <v>110.23386342376051</v>
      </c>
      <c r="I38" s="53">
        <v>0.4798</v>
      </c>
      <c r="J38" s="48">
        <f>(2.86/1000/100/2)*1000</f>
        <v>1.4299999999999998E-2</v>
      </c>
      <c r="K38" s="48">
        <f>(I38/$B$14)*1000</f>
        <v>13.038043478260871</v>
      </c>
      <c r="L38" s="49">
        <f>K38/J38</f>
        <v>911.75129218607503</v>
      </c>
      <c r="M38" s="54">
        <f>(L38/$K$14)*100</f>
        <v>89.766136576239489</v>
      </c>
      <c r="N38" s="26">
        <f>AVERAGE(H38,M38)</f>
        <v>100</v>
      </c>
      <c r="O38" s="5">
        <f t="shared" ref="O38" si="21">STDEV(H38,M38)</f>
        <v>14.472868449356131</v>
      </c>
    </row>
    <row r="39" spans="1:15" ht="15" thickBot="1" x14ac:dyDescent="0.45">
      <c r="A39" s="6"/>
      <c r="B39" s="6"/>
      <c r="C39" s="25"/>
      <c r="D39" s="55"/>
      <c r="E39" s="56"/>
      <c r="F39" s="56"/>
      <c r="G39" s="57"/>
      <c r="H39" s="57"/>
      <c r="I39" s="55"/>
      <c r="J39" s="56"/>
      <c r="K39" s="56"/>
      <c r="L39" s="57"/>
      <c r="M39" s="58"/>
      <c r="N39" s="48"/>
      <c r="O39" s="48"/>
    </row>
    <row r="40" spans="1:15" x14ac:dyDescent="0.4">
      <c r="A40" s="6"/>
      <c r="B40" s="5"/>
      <c r="C40" s="5"/>
      <c r="D40" s="6"/>
      <c r="E40" s="6"/>
      <c r="F40" s="6"/>
      <c r="G40" s="6"/>
      <c r="H40" s="6"/>
      <c r="I40" s="6"/>
      <c r="J40" s="6"/>
      <c r="K40" s="6"/>
      <c r="L40" s="6"/>
      <c r="M40" s="6"/>
      <c r="N40" s="59"/>
      <c r="O40" s="59"/>
    </row>
    <row r="41" spans="1:15" x14ac:dyDescent="0.4">
      <c r="A41" s="6"/>
      <c r="B41" s="6"/>
      <c r="C41" s="6"/>
      <c r="D41" s="5"/>
      <c r="E41" s="5"/>
      <c r="F41" s="6"/>
      <c r="G41" s="6"/>
      <c r="H41" s="6"/>
      <c r="I41" s="6"/>
      <c r="J41" s="6"/>
      <c r="K41" s="6"/>
      <c r="L41" s="6"/>
      <c r="M41" s="6"/>
      <c r="N41" s="6"/>
      <c r="O41" s="6"/>
    </row>
    <row r="43" spans="1:15" x14ac:dyDescent="0.4">
      <c r="B43" s="22" t="s">
        <v>107</v>
      </c>
      <c r="C43" s="22"/>
      <c r="D43" s="22"/>
      <c r="E43" s="22"/>
      <c r="F43" s="65"/>
      <c r="G43" s="65">
        <f>(AVERAGE(D20/E20,D21/E21,D22/E22,D23/E23,D5/E5,D6/E6,D7/E7,D8/E8))</f>
        <v>26.483750000000001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40"/>
  <sheetViews>
    <sheetView zoomScale="70" workbookViewId="0">
      <selection activeCell="AF38" sqref="AF38"/>
    </sheetView>
  </sheetViews>
  <sheetFormatPr defaultRowHeight="14.6" x14ac:dyDescent="0.4"/>
  <sheetData>
    <row r="1" spans="1:25" x14ac:dyDescent="0.4">
      <c r="A1" s="6" t="s">
        <v>79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x14ac:dyDescent="0.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5" x14ac:dyDescent="0.4">
      <c r="A3" s="7">
        <v>2109</v>
      </c>
      <c r="B3" s="7"/>
      <c r="C3" s="7"/>
      <c r="D3" s="7"/>
      <c r="E3" s="7"/>
      <c r="F3" s="7"/>
      <c r="G3" s="7"/>
      <c r="H3" s="7"/>
      <c r="I3" s="7"/>
      <c r="J3" s="7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spans="1:25" x14ac:dyDescent="0.4">
      <c r="A4" s="5"/>
      <c r="B4" s="5"/>
      <c r="C4" s="5"/>
      <c r="D4" s="5"/>
      <c r="E4" s="5"/>
      <c r="F4" s="5"/>
      <c r="G4" s="5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x14ac:dyDescent="0.4">
      <c r="A5" s="5"/>
      <c r="B5" s="5"/>
      <c r="C5" s="5"/>
      <c r="D5" s="5" t="s">
        <v>16</v>
      </c>
      <c r="E5" s="5" t="s">
        <v>17</v>
      </c>
      <c r="F5" s="5" t="s">
        <v>18</v>
      </c>
      <c r="G5" s="5" t="s">
        <v>34</v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25" x14ac:dyDescent="0.4">
      <c r="B6" s="6" t="s">
        <v>47</v>
      </c>
      <c r="C6" s="6" t="s">
        <v>73</v>
      </c>
      <c r="D6" s="6">
        <v>0.2266</v>
      </c>
      <c r="E6" s="26">
        <f>(D6-0.0615)/1.2946</f>
        <v>0.12752973891549513</v>
      </c>
      <c r="F6" s="5">
        <v>0.1</v>
      </c>
      <c r="G6" s="18">
        <f t="shared" ref="G6:G9" si="0">(E6/F6)*100</f>
        <v>127.52973891549513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x14ac:dyDescent="0.4">
      <c r="A7" t="s">
        <v>89</v>
      </c>
      <c r="B7" s="25" t="s">
        <v>80</v>
      </c>
      <c r="C7" s="25" t="s">
        <v>86</v>
      </c>
      <c r="D7" s="6">
        <v>0.13286000000000001</v>
      </c>
      <c r="E7" s="26">
        <f t="shared" ref="E7:E12" si="1">(D7-0.0615)/1.2946</f>
        <v>5.5121272980071072E-2</v>
      </c>
      <c r="F7" s="5">
        <v>0.1</v>
      </c>
      <c r="G7" s="18">
        <f t="shared" si="0"/>
        <v>55.121272980071069</v>
      </c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 spans="1:25" x14ac:dyDescent="0.4">
      <c r="A8" t="s">
        <v>88</v>
      </c>
      <c r="B8" s="25" t="s">
        <v>81</v>
      </c>
      <c r="C8" s="25" t="s">
        <v>86</v>
      </c>
      <c r="D8" s="6">
        <v>0.18567</v>
      </c>
      <c r="E8" s="26">
        <f t="shared" si="1"/>
        <v>9.5913795767032295E-2</v>
      </c>
      <c r="F8" s="5">
        <v>0.1</v>
      </c>
      <c r="G8" s="18">
        <f t="shared" si="0"/>
        <v>95.913795767032298</v>
      </c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spans="1:25" x14ac:dyDescent="0.4">
      <c r="A9" t="s">
        <v>87</v>
      </c>
      <c r="B9" s="25" t="s">
        <v>82</v>
      </c>
      <c r="C9" s="25" t="s">
        <v>86</v>
      </c>
      <c r="D9" s="6">
        <v>0.18115999999999999</v>
      </c>
      <c r="E9" s="26">
        <f t="shared" si="1"/>
        <v>9.2430094237602345E-2</v>
      </c>
      <c r="F9" s="5">
        <v>0.1</v>
      </c>
      <c r="G9" s="18">
        <f t="shared" si="0"/>
        <v>92.430094237602347</v>
      </c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1:25" x14ac:dyDescent="0.4">
      <c r="A10" t="s">
        <v>90</v>
      </c>
      <c r="B10" s="25" t="s">
        <v>83</v>
      </c>
      <c r="C10" s="25" t="s">
        <v>86</v>
      </c>
      <c r="D10" s="6">
        <v>0.14910000000000001</v>
      </c>
      <c r="E10" s="26">
        <f t="shared" si="1"/>
        <v>6.7665688243472896E-2</v>
      </c>
      <c r="F10" s="5">
        <v>0.1</v>
      </c>
      <c r="G10" s="18">
        <f>(E10/F10)*100</f>
        <v>67.665688243472886</v>
      </c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spans="1:25" x14ac:dyDescent="0.4">
      <c r="A11" t="s">
        <v>91</v>
      </c>
      <c r="B11" s="25" t="s">
        <v>84</v>
      </c>
      <c r="C11" s="25" t="s">
        <v>86</v>
      </c>
      <c r="D11" s="6">
        <v>0.16369</v>
      </c>
      <c r="E11" s="26">
        <f t="shared" si="1"/>
        <v>7.8935578557083275E-2</v>
      </c>
      <c r="F11" s="5">
        <v>0.1</v>
      </c>
      <c r="G11" s="18">
        <f>(E11/F11)*100</f>
        <v>78.935578557083275</v>
      </c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5" x14ac:dyDescent="0.4">
      <c r="A12" t="s">
        <v>92</v>
      </c>
      <c r="B12" s="25" t="s">
        <v>85</v>
      </c>
      <c r="C12" s="25" t="s">
        <v>86</v>
      </c>
      <c r="D12" s="6">
        <v>0.17373</v>
      </c>
      <c r="E12" s="26">
        <f t="shared" si="1"/>
        <v>8.6690869766723314E-2</v>
      </c>
      <c r="F12" s="5">
        <v>0.1</v>
      </c>
      <c r="G12" s="18">
        <f>(E12/F12)*100</f>
        <v>86.69086976672331</v>
      </c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5" x14ac:dyDescent="0.4">
      <c r="A13" s="6"/>
      <c r="B13" s="2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spans="1:25" x14ac:dyDescent="0.4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spans="1:25" x14ac:dyDescent="0.4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5" x14ac:dyDescent="0.4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spans="1:25" x14ac:dyDescent="0.4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</row>
    <row r="18" spans="1:25" x14ac:dyDescent="0.4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</row>
    <row r="19" spans="1:25" x14ac:dyDescent="0.4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</row>
    <row r="20" spans="1:25" x14ac:dyDescent="0.4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</row>
    <row r="21" spans="1:25" x14ac:dyDescent="0.4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7"/>
      <c r="Q21" s="7"/>
      <c r="R21" s="7"/>
      <c r="S21" s="7"/>
      <c r="T21" s="7"/>
      <c r="U21" s="7"/>
      <c r="V21" s="7"/>
      <c r="W21" s="7"/>
      <c r="X21" s="7"/>
      <c r="Y21" s="7"/>
    </row>
    <row r="22" spans="1:25" x14ac:dyDescent="0.4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6"/>
      <c r="T22" s="6"/>
      <c r="U22" s="5"/>
      <c r="V22" s="5"/>
      <c r="W22" s="6"/>
      <c r="X22" s="6"/>
      <c r="Y22" s="6"/>
    </row>
    <row r="23" spans="1:25" x14ac:dyDescent="0.4">
      <c r="A23" s="47"/>
      <c r="B23" s="59"/>
      <c r="C23" s="59"/>
      <c r="D23" s="48"/>
      <c r="E23" s="48"/>
      <c r="F23" s="48"/>
      <c r="G23" s="49"/>
      <c r="H23" s="49"/>
      <c r="I23" s="48"/>
      <c r="J23" s="48"/>
      <c r="K23" s="48"/>
      <c r="L23" s="49"/>
      <c r="M23" s="49"/>
      <c r="N23" s="46"/>
      <c r="O23" s="47"/>
      <c r="P23" s="48"/>
      <c r="Q23" s="49"/>
      <c r="R23" s="49"/>
      <c r="S23" s="6"/>
      <c r="T23" s="6"/>
      <c r="U23" s="5"/>
      <c r="V23" s="5"/>
      <c r="W23" s="6"/>
      <c r="X23" s="6"/>
      <c r="Y23" s="6"/>
    </row>
    <row r="24" spans="1:25" x14ac:dyDescent="0.4">
      <c r="A24" s="47"/>
      <c r="B24" s="47"/>
      <c r="C24" s="48"/>
      <c r="D24" s="48"/>
      <c r="E24" s="48"/>
      <c r="F24" s="48"/>
      <c r="G24" s="49"/>
      <c r="H24" s="49"/>
      <c r="I24" s="48"/>
      <c r="J24" s="48"/>
      <c r="K24" s="48"/>
      <c r="L24" s="49"/>
      <c r="M24" s="49"/>
      <c r="N24" s="46"/>
      <c r="O24" s="47"/>
      <c r="P24" s="48"/>
      <c r="Q24" s="49"/>
      <c r="R24" s="49"/>
      <c r="S24" s="6"/>
      <c r="T24" s="6"/>
      <c r="U24" s="5"/>
      <c r="V24" s="5"/>
      <c r="W24" s="6"/>
      <c r="X24" s="6"/>
      <c r="Y24" s="6"/>
    </row>
    <row r="25" spans="1:25" x14ac:dyDescent="0.4">
      <c r="A25" s="47"/>
      <c r="B25" s="47"/>
      <c r="C25" s="48"/>
      <c r="D25" s="48"/>
      <c r="E25" s="48"/>
      <c r="F25" s="48"/>
      <c r="G25" s="49"/>
      <c r="H25" s="49"/>
      <c r="I25" s="48"/>
      <c r="J25" s="48"/>
      <c r="K25" s="48"/>
      <c r="L25" s="49"/>
      <c r="M25" s="49"/>
      <c r="N25" s="46"/>
      <c r="O25" s="47"/>
      <c r="P25" s="48"/>
      <c r="Q25" s="49"/>
      <c r="R25" s="49"/>
      <c r="S25" s="6"/>
      <c r="T25" s="6"/>
      <c r="U25" s="5"/>
      <c r="V25" s="5"/>
      <c r="W25" s="6"/>
      <c r="X25" s="6"/>
      <c r="Y25" s="6"/>
    </row>
    <row r="26" spans="1:25" x14ac:dyDescent="0.4">
      <c r="A26" s="47"/>
      <c r="B26" s="47"/>
      <c r="C26" s="48"/>
      <c r="D26" s="48"/>
      <c r="E26" s="48"/>
      <c r="F26" s="48"/>
      <c r="G26" s="49"/>
      <c r="H26" s="49"/>
      <c r="I26" s="48"/>
      <c r="J26" s="48"/>
      <c r="K26" s="48"/>
      <c r="L26" s="49"/>
      <c r="M26" s="49"/>
      <c r="N26" s="46"/>
      <c r="O26" s="47"/>
      <c r="P26" s="48"/>
      <c r="Q26" s="49"/>
      <c r="R26" s="49"/>
      <c r="S26" s="6"/>
      <c r="T26" s="6"/>
      <c r="U26" s="5"/>
      <c r="V26" s="5"/>
      <c r="W26" s="6"/>
      <c r="X26" s="6"/>
      <c r="Y26" s="6"/>
    </row>
    <row r="27" spans="1:25" x14ac:dyDescent="0.4">
      <c r="A27" s="47"/>
      <c r="B27" s="47"/>
      <c r="C27" s="48"/>
      <c r="D27" s="48"/>
      <c r="E27" s="48"/>
      <c r="F27" s="48"/>
      <c r="G27" s="49"/>
      <c r="H27" s="49"/>
      <c r="I27" s="48"/>
      <c r="J27" s="48"/>
      <c r="K27" s="48"/>
      <c r="L27" s="49"/>
      <c r="M27" s="49"/>
      <c r="N27" s="46"/>
      <c r="O27" s="47"/>
      <c r="P27" s="48"/>
      <c r="Q27" s="49"/>
      <c r="R27" s="49"/>
      <c r="S27" s="6"/>
      <c r="T27" s="6"/>
      <c r="U27" s="5"/>
      <c r="V27" s="5"/>
      <c r="W27" s="6"/>
      <c r="X27" s="6"/>
      <c r="Y27" s="6"/>
    </row>
    <row r="28" spans="1:25" x14ac:dyDescent="0.4">
      <c r="A28" s="47"/>
      <c r="B28" s="47"/>
      <c r="C28" s="59"/>
      <c r="D28" s="48"/>
      <c r="E28" s="48"/>
      <c r="F28" s="48"/>
      <c r="G28" s="49"/>
      <c r="H28" s="49"/>
      <c r="I28" s="48"/>
      <c r="J28" s="48"/>
      <c r="K28" s="48"/>
      <c r="L28" s="49"/>
      <c r="M28" s="49"/>
      <c r="N28" s="46"/>
      <c r="O28" s="47"/>
      <c r="P28" s="48"/>
      <c r="Q28" s="49"/>
      <c r="R28" s="49"/>
      <c r="S28" s="6"/>
      <c r="T28" s="6"/>
      <c r="U28" s="5"/>
      <c r="V28" s="5"/>
      <c r="W28" s="6"/>
      <c r="X28" s="6"/>
      <c r="Y28" s="6"/>
    </row>
    <row r="29" spans="1:25" x14ac:dyDescent="0.4">
      <c r="A29" s="59"/>
      <c r="B29" s="59"/>
      <c r="C29" s="48"/>
      <c r="D29" s="48"/>
      <c r="E29" s="48"/>
      <c r="F29" s="48"/>
      <c r="G29" s="49"/>
      <c r="H29" s="49"/>
      <c r="I29" s="48"/>
      <c r="J29" s="48"/>
      <c r="K29" s="48"/>
      <c r="L29" s="49"/>
      <c r="M29" s="49"/>
      <c r="N29" s="48"/>
      <c r="O29" s="48"/>
      <c r="P29" s="48"/>
      <c r="Q29" s="49"/>
      <c r="R29" s="49"/>
      <c r="S29" s="5"/>
      <c r="T29" s="5"/>
      <c r="U29" s="5"/>
      <c r="V29" s="5"/>
      <c r="W29" s="6"/>
      <c r="X29" s="6"/>
      <c r="Y29" s="6"/>
    </row>
    <row r="30" spans="1:25" x14ac:dyDescent="0.4">
      <c r="A30" s="59"/>
      <c r="B30" s="47"/>
      <c r="C30" s="47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6"/>
      <c r="T30" s="6"/>
      <c r="U30" s="6"/>
      <c r="V30" s="6"/>
      <c r="W30" s="6"/>
      <c r="X30" s="6"/>
      <c r="Y30" s="6"/>
    </row>
    <row r="31" spans="1:25" x14ac:dyDescent="0.4">
      <c r="A31" s="59"/>
      <c r="B31" s="59"/>
      <c r="C31" s="48"/>
      <c r="D31" s="48"/>
      <c r="E31" s="48"/>
      <c r="F31" s="48"/>
      <c r="G31" s="49"/>
      <c r="H31" s="49"/>
      <c r="I31" s="59"/>
      <c r="J31" s="59"/>
      <c r="K31" s="59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</row>
    <row r="32" spans="1:25" x14ac:dyDescent="0.4">
      <c r="A32" s="59"/>
      <c r="B32" s="59"/>
      <c r="C32" s="48"/>
      <c r="D32" s="48"/>
      <c r="E32" s="48"/>
      <c r="F32" s="48"/>
      <c r="G32" s="49"/>
      <c r="H32" s="49"/>
      <c r="I32" s="59"/>
      <c r="J32" s="59"/>
      <c r="K32" s="46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</row>
    <row r="33" spans="1:25" x14ac:dyDescent="0.4">
      <c r="A33" s="59"/>
      <c r="B33" s="59"/>
      <c r="C33" s="48"/>
      <c r="D33" s="48"/>
      <c r="E33" s="48"/>
      <c r="F33" s="48"/>
      <c r="G33" s="49"/>
      <c r="H33" s="49"/>
      <c r="I33" s="47"/>
      <c r="J33" s="48"/>
      <c r="K33" s="48"/>
      <c r="L33" s="48"/>
      <c r="M33" s="48"/>
      <c r="N33" s="49"/>
      <c r="O33" s="49"/>
      <c r="P33" s="48"/>
      <c r="Q33" s="48"/>
      <c r="R33" s="48"/>
      <c r="S33" s="49"/>
      <c r="T33" s="49"/>
      <c r="U33" s="48"/>
      <c r="V33" s="48"/>
      <c r="W33" s="48"/>
      <c r="X33" s="49"/>
      <c r="Y33" s="49"/>
    </row>
    <row r="34" spans="1:25" x14ac:dyDescent="0.4">
      <c r="A34" s="59"/>
      <c r="B34" s="59"/>
      <c r="C34" s="48"/>
      <c r="D34" s="48"/>
      <c r="E34" s="48"/>
      <c r="F34" s="48"/>
      <c r="G34" s="49"/>
      <c r="H34" s="49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</row>
    <row r="35" spans="1:25" x14ac:dyDescent="0.4">
      <c r="A35" s="59"/>
      <c r="B35" s="59"/>
      <c r="C35" s="48"/>
      <c r="D35" s="48"/>
      <c r="E35" s="48"/>
      <c r="F35" s="48"/>
      <c r="G35" s="49"/>
      <c r="H35" s="49"/>
      <c r="I35" s="47"/>
      <c r="J35" s="47"/>
      <c r="K35" s="48"/>
      <c r="L35" s="48"/>
      <c r="M35" s="48"/>
      <c r="N35" s="49"/>
      <c r="O35" s="49"/>
      <c r="P35" s="48"/>
      <c r="Q35" s="48"/>
      <c r="R35" s="48"/>
      <c r="S35" s="49"/>
      <c r="T35" s="49"/>
      <c r="U35" s="48"/>
      <c r="V35" s="48"/>
      <c r="W35" s="48"/>
      <c r="X35" s="49"/>
      <c r="Y35" s="49"/>
    </row>
    <row r="36" spans="1:25" x14ac:dyDescent="0.4">
      <c r="A36" s="59"/>
      <c r="B36" s="59"/>
      <c r="C36" s="48"/>
      <c r="D36" s="48"/>
      <c r="E36" s="48"/>
      <c r="F36" s="48"/>
      <c r="G36" s="49"/>
      <c r="H36" s="49"/>
      <c r="I36" s="47"/>
      <c r="J36" s="47"/>
      <c r="K36" s="48"/>
      <c r="L36" s="48"/>
      <c r="M36" s="48"/>
      <c r="N36" s="49"/>
      <c r="O36" s="49"/>
      <c r="P36" s="48"/>
      <c r="Q36" s="48"/>
      <c r="R36" s="48"/>
      <c r="S36" s="49"/>
      <c r="T36" s="49"/>
      <c r="U36" s="48"/>
      <c r="V36" s="48"/>
      <c r="W36" s="48"/>
      <c r="X36" s="49"/>
      <c r="Y36" s="49"/>
    </row>
    <row r="37" spans="1:25" x14ac:dyDescent="0.4">
      <c r="A37" s="59"/>
      <c r="B37" s="59"/>
      <c r="C37" s="59"/>
      <c r="D37" s="47"/>
      <c r="E37" s="47"/>
      <c r="F37" s="47"/>
      <c r="G37" s="61"/>
      <c r="H37" s="47"/>
      <c r="I37" s="59"/>
      <c r="J37" s="59"/>
      <c r="K37" s="59"/>
      <c r="L37" s="59"/>
      <c r="M37" s="59"/>
      <c r="N37" s="59"/>
      <c r="O37" s="59"/>
      <c r="P37" s="6"/>
      <c r="Q37" s="6"/>
      <c r="R37" s="6"/>
      <c r="S37" s="6"/>
      <c r="T37" s="6"/>
      <c r="U37" s="6"/>
      <c r="V37" s="6"/>
      <c r="W37" s="6"/>
      <c r="X37" s="6"/>
      <c r="Y37" s="6"/>
    </row>
    <row r="38" spans="1:25" x14ac:dyDescent="0.4">
      <c r="A38" s="47"/>
      <c r="B38" s="47"/>
      <c r="C38" s="47"/>
      <c r="D38" s="47"/>
      <c r="E38" s="47"/>
      <c r="F38" s="47"/>
      <c r="G38" s="61"/>
      <c r="H38" s="47"/>
      <c r="I38" s="59"/>
      <c r="J38" s="59"/>
      <c r="K38" s="59"/>
      <c r="L38" s="59"/>
      <c r="M38" s="59"/>
      <c r="N38" s="59"/>
      <c r="O38" s="59"/>
      <c r="P38" s="6"/>
      <c r="Q38" s="6"/>
      <c r="R38" s="6"/>
      <c r="S38" s="6"/>
      <c r="T38" s="6"/>
      <c r="U38" s="6"/>
      <c r="V38" s="6"/>
      <c r="W38" s="6"/>
      <c r="X38" s="6"/>
      <c r="Y38" s="6"/>
    </row>
    <row r="39" spans="1:25" x14ac:dyDescent="0.4">
      <c r="A39" s="59"/>
      <c r="B39" s="59"/>
      <c r="C39" s="59"/>
      <c r="D39" s="47"/>
      <c r="E39" s="47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6"/>
      <c r="Q39" s="6"/>
      <c r="R39" s="6"/>
      <c r="S39" s="6"/>
      <c r="T39" s="6"/>
      <c r="U39" s="6"/>
      <c r="V39" s="6"/>
      <c r="W39" s="6"/>
      <c r="X39" s="6"/>
      <c r="Y39" s="6"/>
    </row>
    <row r="40" spans="1:25" x14ac:dyDescent="0.4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T27"/>
  <sheetViews>
    <sheetView zoomScale="59" workbookViewId="0">
      <selection activeCell="E26" sqref="E26:G26"/>
    </sheetView>
  </sheetViews>
  <sheetFormatPr defaultRowHeight="14.6" x14ac:dyDescent="0.4"/>
  <cols>
    <col min="5" max="5" width="17" customWidth="1"/>
    <col min="6" max="6" width="25.84375" customWidth="1"/>
    <col min="7" max="7" width="32.4609375" customWidth="1"/>
    <col min="8" max="8" width="14.53515625" customWidth="1"/>
    <col min="9" max="9" width="12.69140625" customWidth="1"/>
  </cols>
  <sheetData>
    <row r="2" spans="1:20" x14ac:dyDescent="0.4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</row>
    <row r="3" spans="1:20" x14ac:dyDescent="0.4">
      <c r="A3" t="s">
        <v>93</v>
      </c>
      <c r="B3" t="s">
        <v>94</v>
      </c>
      <c r="C3" t="s">
        <v>97</v>
      </c>
      <c r="D3" t="s">
        <v>100</v>
      </c>
      <c r="E3" t="s">
        <v>101</v>
      </c>
      <c r="F3" t="s">
        <v>102</v>
      </c>
      <c r="G3" t="s">
        <v>105</v>
      </c>
    </row>
    <row r="4" spans="1:20" x14ac:dyDescent="0.4">
      <c r="A4">
        <v>1</v>
      </c>
      <c r="B4" s="62" t="s">
        <v>95</v>
      </c>
      <c r="C4" s="62" t="s">
        <v>98</v>
      </c>
      <c r="D4">
        <v>4.4000000000000004</v>
      </c>
      <c r="E4" s="62" t="s">
        <v>81</v>
      </c>
      <c r="F4" s="1">
        <v>9.2731345589371225E-2</v>
      </c>
      <c r="G4" s="64">
        <v>51.399063795882149</v>
      </c>
    </row>
    <row r="5" spans="1:20" x14ac:dyDescent="0.4">
      <c r="A5">
        <v>2</v>
      </c>
      <c r="B5" s="62" t="s">
        <v>95</v>
      </c>
      <c r="C5" s="62" t="s">
        <v>23</v>
      </c>
      <c r="D5">
        <v>4.4000000000000004</v>
      </c>
      <c r="E5" s="62" t="s">
        <v>81</v>
      </c>
      <c r="F5" s="1">
        <v>9.3434265410165307E-2</v>
      </c>
      <c r="G5" s="64">
        <v>51.535883224062587</v>
      </c>
    </row>
    <row r="6" spans="1:20" x14ac:dyDescent="0.4">
      <c r="A6">
        <v>3</v>
      </c>
      <c r="B6" s="62" t="s">
        <v>96</v>
      </c>
      <c r="C6" s="62" t="s">
        <v>98</v>
      </c>
      <c r="D6">
        <v>6</v>
      </c>
      <c r="E6" s="62" t="s">
        <v>82</v>
      </c>
      <c r="F6" s="1">
        <v>8.9100880580874411E-2</v>
      </c>
      <c r="G6" s="64">
        <v>54.072807711878774</v>
      </c>
    </row>
    <row r="7" spans="1:20" x14ac:dyDescent="0.4">
      <c r="A7">
        <v>4</v>
      </c>
      <c r="B7" s="62" t="s">
        <v>96</v>
      </c>
      <c r="C7" s="62" t="s">
        <v>99</v>
      </c>
      <c r="D7">
        <v>7</v>
      </c>
      <c r="E7" s="62" t="s">
        <v>84</v>
      </c>
      <c r="F7" s="1">
        <v>7.8935578557083275E-2</v>
      </c>
      <c r="G7" s="64">
        <v>50.588170692273977</v>
      </c>
    </row>
    <row r="8" spans="1:20" x14ac:dyDescent="0.4">
      <c r="A8">
        <v>5</v>
      </c>
      <c r="B8" s="62" t="s">
        <v>96</v>
      </c>
      <c r="C8" s="62" t="s">
        <v>98</v>
      </c>
      <c r="D8">
        <v>7</v>
      </c>
      <c r="E8" s="62" t="s">
        <v>85</v>
      </c>
      <c r="F8" s="1">
        <v>8.6690869766723314E-2</v>
      </c>
      <c r="G8" s="64">
        <v>23.603358204618623</v>
      </c>
    </row>
    <row r="14" spans="1:20" x14ac:dyDescent="0.4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</row>
    <row r="15" spans="1:20" x14ac:dyDescent="0.4">
      <c r="A15" s="6" t="s">
        <v>93</v>
      </c>
      <c r="B15" s="6" t="s">
        <v>94</v>
      </c>
      <c r="C15" s="6" t="s">
        <v>97</v>
      </c>
      <c r="D15" s="6" t="s">
        <v>100</v>
      </c>
      <c r="E15" s="6" t="s">
        <v>101</v>
      </c>
      <c r="F15" s="6" t="s">
        <v>28</v>
      </c>
      <c r="G15" s="6" t="s">
        <v>31</v>
      </c>
      <c r="H15" s="6" t="s">
        <v>32</v>
      </c>
      <c r="I15" s="6" t="s">
        <v>33</v>
      </c>
      <c r="J15" s="6" t="s">
        <v>35</v>
      </c>
      <c r="K15" t="s">
        <v>103</v>
      </c>
      <c r="L15" t="s">
        <v>104</v>
      </c>
    </row>
    <row r="16" spans="1:20" x14ac:dyDescent="0.4">
      <c r="A16" s="6">
        <v>1</v>
      </c>
      <c r="B16" s="62" t="s">
        <v>95</v>
      </c>
      <c r="C16" s="62" t="s">
        <v>98</v>
      </c>
      <c r="D16" s="6">
        <v>4.4000000000000004</v>
      </c>
      <c r="E16" s="62" t="s">
        <v>81</v>
      </c>
      <c r="F16" s="5">
        <v>0.1754</v>
      </c>
      <c r="G16" s="63">
        <f>(F4/100/100)*1000</f>
        <v>9.2731345589371229E-3</v>
      </c>
      <c r="H16" s="5">
        <f>(F16/$B$26)*1000</f>
        <v>4.7663043478260869</v>
      </c>
      <c r="I16" s="18">
        <f>H16/G16</f>
        <v>513.99063795882148</v>
      </c>
      <c r="J16" s="18">
        <f>(I16/1000)*100</f>
        <v>51.399063795882149</v>
      </c>
      <c r="K16" s="15">
        <f>J16</f>
        <v>51.399063795882149</v>
      </c>
    </row>
    <row r="17" spans="1:12" x14ac:dyDescent="0.4">
      <c r="A17" s="6">
        <v>2</v>
      </c>
      <c r="B17" s="62" t="s">
        <v>95</v>
      </c>
      <c r="C17" s="62" t="s">
        <v>23</v>
      </c>
      <c r="D17" s="6">
        <v>4.4000000000000004</v>
      </c>
      <c r="E17" s="62" t="s">
        <v>81</v>
      </c>
      <c r="F17" s="5">
        <v>0.1772</v>
      </c>
      <c r="G17" s="63">
        <f>(F5/100/100)*1000</f>
        <v>9.3434265410165303E-3</v>
      </c>
      <c r="H17" s="5">
        <f t="shared" ref="H17:H23" si="0">(F17/$B$26)*1000</f>
        <v>4.8152173913043486</v>
      </c>
      <c r="I17" s="18">
        <f t="shared" ref="I17:I23" si="1">H17/G17</f>
        <v>515.35883224062582</v>
      </c>
      <c r="J17" s="18">
        <f t="shared" ref="J17:J23" si="2">(I17/1000)*100</f>
        <v>51.535883224062587</v>
      </c>
      <c r="K17" s="15">
        <f>J17</f>
        <v>51.535883224062587</v>
      </c>
    </row>
    <row r="18" spans="1:12" x14ac:dyDescent="0.4">
      <c r="A18" s="6">
        <v>3</v>
      </c>
      <c r="B18" s="62" t="s">
        <v>96</v>
      </c>
      <c r="C18" s="62" t="s">
        <v>98</v>
      </c>
      <c r="D18" s="6">
        <v>6</v>
      </c>
      <c r="E18" s="62" t="s">
        <v>82</v>
      </c>
      <c r="F18" s="5">
        <v>0.19900000000000001</v>
      </c>
      <c r="G18" s="63">
        <f>(F6/100/100)*1000</f>
        <v>8.9100880580874411E-3</v>
      </c>
      <c r="H18" s="5">
        <f t="shared" si="0"/>
        <v>5.4076086956521738</v>
      </c>
      <c r="I18" s="18">
        <f t="shared" si="1"/>
        <v>606.90855807466869</v>
      </c>
      <c r="J18" s="18">
        <f t="shared" si="2"/>
        <v>60.690855807466868</v>
      </c>
      <c r="K18" s="15">
        <f>AVERAGE(J18:J19)</f>
        <v>54.072807711878774</v>
      </c>
      <c r="L18">
        <f>+STDEV(J18:J19)</f>
        <v>9.3593333732180781</v>
      </c>
    </row>
    <row r="19" spans="1:12" x14ac:dyDescent="0.4">
      <c r="F19" s="5">
        <v>0.15559999999999999</v>
      </c>
      <c r="G19" s="63">
        <f>(F6/100/100)*1000</f>
        <v>8.9100880580874411E-3</v>
      </c>
      <c r="H19" s="5">
        <f t="shared" si="0"/>
        <v>4.2282608695652177</v>
      </c>
      <c r="I19" s="18">
        <f t="shared" si="1"/>
        <v>474.54759616290681</v>
      </c>
      <c r="J19" s="18">
        <f t="shared" si="2"/>
        <v>47.45475961629068</v>
      </c>
    </row>
    <row r="20" spans="1:12" x14ac:dyDescent="0.4">
      <c r="A20" s="6">
        <v>4</v>
      </c>
      <c r="B20" s="62" t="s">
        <v>96</v>
      </c>
      <c r="C20" s="62" t="s">
        <v>99</v>
      </c>
      <c r="D20" s="6">
        <v>7</v>
      </c>
      <c r="E20" s="62" t="s">
        <v>84</v>
      </c>
      <c r="F20" s="5">
        <v>0.1497</v>
      </c>
      <c r="G20" s="63">
        <f>(F7/100/100)*1000</f>
        <v>7.8935578557083278E-3</v>
      </c>
      <c r="H20" s="5">
        <f t="shared" si="0"/>
        <v>4.0679347826086962</v>
      </c>
      <c r="I20" s="18">
        <f t="shared" si="1"/>
        <v>515.34870041738111</v>
      </c>
      <c r="J20" s="18">
        <f t="shared" si="2"/>
        <v>51.53487004173811</v>
      </c>
      <c r="K20" s="15">
        <f>AVERAGE(J20:J21)</f>
        <v>50.588170692273977</v>
      </c>
      <c r="L20" s="6">
        <f>+STDEV(J20:J21)</f>
        <v>1.3388350595019629</v>
      </c>
    </row>
    <row r="21" spans="1:12" x14ac:dyDescent="0.4">
      <c r="F21" s="5">
        <v>0.14419999999999999</v>
      </c>
      <c r="G21" s="63">
        <f>(F7/100/100)*1000</f>
        <v>7.8935578557083278E-3</v>
      </c>
      <c r="H21" s="5">
        <f t="shared" si="0"/>
        <v>3.918478260869565</v>
      </c>
      <c r="I21" s="18">
        <f t="shared" si="1"/>
        <v>496.41471342809848</v>
      </c>
      <c r="J21" s="18">
        <f t="shared" si="2"/>
        <v>49.641471342809844</v>
      </c>
    </row>
    <row r="22" spans="1:12" x14ac:dyDescent="0.4">
      <c r="A22" s="6">
        <v>5</v>
      </c>
      <c r="B22" s="62" t="s">
        <v>96</v>
      </c>
      <c r="C22" s="62" t="s">
        <v>98</v>
      </c>
      <c r="D22" s="6">
        <v>7</v>
      </c>
      <c r="E22" s="62" t="s">
        <v>85</v>
      </c>
      <c r="F22" s="13">
        <v>7.7799999999999994E-2</v>
      </c>
      <c r="G22" s="63">
        <f>(F8/100/100)*1000</f>
        <v>8.669086976672331E-3</v>
      </c>
      <c r="H22" s="5">
        <f>(F22/$B$26)*1000</f>
        <v>2.1141304347826089</v>
      </c>
      <c r="I22" s="18">
        <f t="shared" si="1"/>
        <v>243.87002235316453</v>
      </c>
      <c r="J22" s="18">
        <f t="shared" si="2"/>
        <v>24.387002235316452</v>
      </c>
      <c r="K22" s="15">
        <f>AVERAGE(J22:J23)</f>
        <v>23.603358204618623</v>
      </c>
      <c r="L22" s="6">
        <f>+STDEV(J22:J23)</f>
        <v>1.1082400162855901</v>
      </c>
    </row>
    <row r="23" spans="1:12" x14ac:dyDescent="0.4">
      <c r="A23" s="5"/>
      <c r="B23" s="5"/>
      <c r="C23" s="5"/>
      <c r="D23" s="5"/>
      <c r="E23" s="14"/>
      <c r="F23" s="13">
        <v>7.2800000000000004E-2</v>
      </c>
      <c r="G23" s="63">
        <f>(F8/100/100)*1000</f>
        <v>8.669086976672331E-3</v>
      </c>
      <c r="H23" s="5">
        <f t="shared" si="0"/>
        <v>1.9782608695652175</v>
      </c>
      <c r="I23" s="18">
        <f t="shared" si="1"/>
        <v>228.19714173920792</v>
      </c>
      <c r="J23" s="18">
        <f t="shared" si="2"/>
        <v>22.81971417392079</v>
      </c>
    </row>
    <row r="24" spans="1:12" x14ac:dyDescent="0.4">
      <c r="D24" s="5"/>
      <c r="E24" s="14"/>
      <c r="F24" s="5"/>
      <c r="G24" s="17"/>
      <c r="H24" s="18"/>
    </row>
    <row r="25" spans="1:12" ht="15" thickBot="1" x14ac:dyDescent="0.45"/>
    <row r="26" spans="1:12" ht="15" thickBot="1" x14ac:dyDescent="0.45">
      <c r="A26" s="4" t="s">
        <v>29</v>
      </c>
      <c r="B26" s="3">
        <v>36.799999999999997</v>
      </c>
      <c r="C26" s="2" t="s">
        <v>30</v>
      </c>
      <c r="E26" s="22" t="s">
        <v>106</v>
      </c>
      <c r="F26" s="22"/>
      <c r="G26" s="65">
        <f>(AVERAGE(F16/G16,F18/G18,F19/G19,F20/G20,F21/G21))</f>
        <v>19.189067116468209</v>
      </c>
      <c r="H26" s="5"/>
    </row>
    <row r="27" spans="1:12" x14ac:dyDescent="0.4">
      <c r="F27" s="5"/>
      <c r="G27" s="5"/>
      <c r="H27" s="5"/>
      <c r="I27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solvent</vt:lpstr>
      <vt:lpstr>temperature</vt:lpstr>
      <vt:lpstr>pH</vt:lpstr>
      <vt:lpstr>no precipitation</vt:lpstr>
      <vt:lpstr>glutaldehyde conc</vt:lpstr>
      <vt:lpstr>dissolvable CLEAS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Nintzel Friederike</dc:creator>
  <cp:lastModifiedBy>Friederike Nintzel</cp:lastModifiedBy>
  <dcterms:created xsi:type="dcterms:W3CDTF">2020-09-17T10:14:47Z</dcterms:created>
  <dcterms:modified xsi:type="dcterms:W3CDTF">2021-03-22T11:29:04Z</dcterms:modified>
</cp:coreProperties>
</file>