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drawings/drawing3.xml" ContentType="application/vnd.openxmlformats-officedocument.drawing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charts/chart25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4.xml" ContentType="application/vnd.openxmlformats-officedocument.drawing+xml"/>
  <Override PartName="/xl/charts/chart26.xml" ContentType="application/vnd.openxmlformats-officedocument.drawingml.chart+xml"/>
  <Override PartName="/xl/charts/chart27.xml" ContentType="application/vnd.openxmlformats-officedocument.drawingml.chart+xml"/>
  <Override PartName="/xl/charts/chart28.xml" ContentType="application/vnd.openxmlformats-officedocument.drawingml.chart+xml"/>
  <Override PartName="/xl/charts/chart29.xml" ContentType="application/vnd.openxmlformats-officedocument.drawingml.chart+xml"/>
  <Override PartName="/xl/drawings/drawing5.xml" ContentType="application/vnd.openxmlformats-officedocument.drawing+xml"/>
  <Override PartName="/xl/charts/chart30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31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32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33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34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35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harts/chart36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37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charts/chart38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charts/chart39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charts/chart40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658659605715c72d/Desktop/ETHZ_editing version/Data/5_Neat styrene reactions/Rates/"/>
    </mc:Choice>
  </mc:AlternateContent>
  <xr:revisionPtr revIDLastSave="75" documentId="8_{F8B91AD2-14DE-4573-B4F1-54AE6DF444BF}" xr6:coauthVersionLast="46" xr6:coauthVersionMax="46" xr10:uidLastSave="{A89FF392-51D8-4E3F-816F-FA4BA0E94460}"/>
  <bookViews>
    <workbookView xWindow="-103" yWindow="-103" windowWidth="15574" windowHeight="9463" firstSheet="1" activeTab="4" xr2:uid="{BD3CDF6E-FB37-4DEC-A5BC-20D75835A274}"/>
  </bookViews>
  <sheets>
    <sheet name="04112020" sheetId="10" r:id="rId1"/>
    <sheet name="06112020" sheetId="11" r:id="rId2"/>
    <sheet name="long term TTN" sheetId="13" r:id="rId3"/>
    <sheet name="feed rates tBuOOH " sheetId="14" r:id="rId4"/>
    <sheet name="inhibition styreneoxide" sheetId="15" r:id="rId5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P11" i="15" l="1"/>
  <c r="AP10" i="15"/>
  <c r="AP9" i="15"/>
  <c r="AP8" i="15"/>
  <c r="AP7" i="15"/>
  <c r="AO11" i="15"/>
  <c r="AO10" i="15"/>
  <c r="AO9" i="15"/>
  <c r="AO8" i="15"/>
  <c r="AM7" i="15"/>
  <c r="AO7" i="15"/>
  <c r="AC37" i="15"/>
  <c r="AC30" i="15"/>
  <c r="AC23" i="15"/>
  <c r="AC16" i="15"/>
  <c r="AC9" i="15"/>
  <c r="Q37" i="15"/>
  <c r="Q30" i="15"/>
  <c r="Q23" i="15"/>
  <c r="Q16" i="15"/>
  <c r="Q9" i="15"/>
  <c r="R43" i="14"/>
  <c r="R42" i="14"/>
  <c r="R41" i="14"/>
  <c r="R40" i="14"/>
  <c r="R39" i="14"/>
  <c r="R38" i="14"/>
  <c r="R37" i="14"/>
  <c r="R36" i="14"/>
  <c r="R35" i="14"/>
  <c r="R34" i="14"/>
  <c r="R33" i="14"/>
  <c r="L34" i="14"/>
  <c r="L35" i="14"/>
  <c r="L36" i="14"/>
  <c r="L37" i="14"/>
  <c r="L38" i="14"/>
  <c r="L39" i="14"/>
  <c r="L40" i="14"/>
  <c r="L41" i="14"/>
  <c r="L42" i="14"/>
  <c r="L43" i="14"/>
  <c r="L33" i="14"/>
  <c r="O33" i="13"/>
  <c r="O34" i="13"/>
  <c r="O35" i="13"/>
  <c r="O36" i="13"/>
  <c r="O37" i="13"/>
  <c r="O38" i="13"/>
  <c r="O39" i="13"/>
  <c r="O40" i="13"/>
  <c r="O41" i="13"/>
  <c r="O42" i="13"/>
  <c r="O32" i="13"/>
  <c r="E40" i="11"/>
  <c r="P6" i="10"/>
  <c r="Y19" i="13"/>
  <c r="Y31" i="13"/>
  <c r="Y30" i="13"/>
  <c r="P23" i="11"/>
  <c r="P24" i="11"/>
  <c r="P25" i="11"/>
  <c r="P26" i="11"/>
  <c r="P27" i="11"/>
  <c r="P28" i="11"/>
  <c r="P29" i="11"/>
  <c r="P30" i="11"/>
  <c r="P31" i="11"/>
  <c r="P32" i="11"/>
  <c r="P22" i="11"/>
  <c r="K21" i="11"/>
  <c r="K4" i="11"/>
  <c r="K3" i="11"/>
  <c r="P35" i="10"/>
  <c r="P24" i="10"/>
  <c r="P25" i="10"/>
  <c r="P26" i="10"/>
  <c r="P27" i="10"/>
  <c r="P28" i="10"/>
  <c r="P29" i="10"/>
  <c r="P30" i="10"/>
  <c r="P31" i="10"/>
  <c r="P32" i="10"/>
  <c r="P33" i="10"/>
  <c r="P34" i="10"/>
  <c r="P23" i="10"/>
  <c r="K21" i="10"/>
  <c r="K4" i="10"/>
  <c r="K3" i="10"/>
  <c r="P18" i="10"/>
  <c r="O8" i="10"/>
  <c r="O6" i="10"/>
  <c r="E30" i="10"/>
  <c r="E25" i="10"/>
  <c r="P20" i="13"/>
  <c r="P21" i="13"/>
  <c r="P22" i="13"/>
  <c r="P23" i="13"/>
  <c r="P24" i="13"/>
  <c r="P25" i="13"/>
  <c r="P26" i="13"/>
  <c r="P27" i="13"/>
  <c r="P28" i="13"/>
  <c r="P19" i="13"/>
  <c r="M33" i="14" l="1"/>
  <c r="S33" i="14"/>
  <c r="Q34" i="14"/>
  <c r="Q35" i="14"/>
  <c r="Q36" i="14"/>
  <c r="Q37" i="14"/>
  <c r="Q38" i="14"/>
  <c r="Q39" i="14"/>
  <c r="Q40" i="14"/>
  <c r="Q41" i="14"/>
  <c r="Q42" i="14"/>
  <c r="Q43" i="14"/>
  <c r="Q33" i="14"/>
  <c r="K34" i="14"/>
  <c r="K35" i="14"/>
  <c r="K36" i="14"/>
  <c r="K37" i="14"/>
  <c r="K38" i="14"/>
  <c r="K39" i="14"/>
  <c r="K40" i="14"/>
  <c r="K41" i="14"/>
  <c r="K42" i="14"/>
  <c r="K43" i="14"/>
  <c r="K33" i="14"/>
  <c r="S34" i="14"/>
  <c r="S35" i="14"/>
  <c r="S36" i="14"/>
  <c r="S37" i="14"/>
  <c r="S38" i="14"/>
  <c r="S39" i="14"/>
  <c r="S40" i="14"/>
  <c r="S41" i="14"/>
  <c r="S42" i="14"/>
  <c r="S43" i="14"/>
  <c r="M34" i="14"/>
  <c r="M35" i="14"/>
  <c r="M36" i="14"/>
  <c r="M37" i="14"/>
  <c r="M38" i="14"/>
  <c r="M39" i="14"/>
  <c r="M40" i="14"/>
  <c r="M41" i="14"/>
  <c r="M42" i="14"/>
  <c r="M43" i="14"/>
  <c r="C34" i="14"/>
  <c r="D34" i="14"/>
  <c r="E34" i="14"/>
  <c r="F34" i="14"/>
  <c r="C35" i="14"/>
  <c r="D35" i="14"/>
  <c r="E35" i="14"/>
  <c r="F35" i="14"/>
  <c r="C36" i="14"/>
  <c r="D36" i="14"/>
  <c r="E36" i="14"/>
  <c r="F36" i="14"/>
  <c r="C37" i="14"/>
  <c r="D37" i="14"/>
  <c r="E37" i="14"/>
  <c r="F37" i="14"/>
  <c r="C38" i="14"/>
  <c r="D38" i="14"/>
  <c r="E38" i="14"/>
  <c r="F38" i="14"/>
  <c r="C39" i="14"/>
  <c r="D39" i="14"/>
  <c r="E39" i="14"/>
  <c r="F39" i="14"/>
  <c r="C40" i="14"/>
  <c r="D40" i="14"/>
  <c r="E40" i="14"/>
  <c r="F40" i="14"/>
  <c r="C41" i="14"/>
  <c r="D41" i="14"/>
  <c r="E41" i="14"/>
  <c r="F41" i="14"/>
  <c r="C42" i="14"/>
  <c r="D42" i="14"/>
  <c r="E42" i="14"/>
  <c r="F42" i="14"/>
  <c r="C43" i="14"/>
  <c r="D43" i="14"/>
  <c r="E43" i="14"/>
  <c r="F43" i="14"/>
  <c r="F33" i="14"/>
  <c r="E33" i="14"/>
  <c r="D33" i="14"/>
  <c r="C33" i="14"/>
  <c r="AC24" i="13"/>
  <c r="AC28" i="13"/>
  <c r="AA19" i="13" l="1"/>
  <c r="AA20" i="13"/>
  <c r="AA21" i="13"/>
  <c r="AA22" i="13"/>
  <c r="AA23" i="13"/>
  <c r="AA24" i="13"/>
  <c r="AA25" i="13"/>
  <c r="AA26" i="13"/>
  <c r="AA27" i="13"/>
  <c r="AA28" i="13"/>
  <c r="AA18" i="13"/>
  <c r="Y28" i="13"/>
  <c r="Y27" i="13"/>
  <c r="Y26" i="13"/>
  <c r="Y25" i="13"/>
  <c r="Y24" i="13"/>
  <c r="Y23" i="13"/>
  <c r="Y22" i="13"/>
  <c r="Y21" i="13"/>
  <c r="Y20" i="13"/>
  <c r="Z20" i="13"/>
  <c r="Z21" i="13"/>
  <c r="Z22" i="13"/>
  <c r="Z23" i="13"/>
  <c r="Z24" i="13"/>
  <c r="Z25" i="13"/>
  <c r="Z26" i="13"/>
  <c r="Z27" i="13"/>
  <c r="Z28" i="13"/>
  <c r="Z19" i="13"/>
  <c r="E35" i="11" l="1"/>
  <c r="F35" i="11"/>
  <c r="T22" i="10" l="1"/>
  <c r="T23" i="10" s="1"/>
  <c r="T24" i="10" s="1"/>
  <c r="T25" i="10" s="1"/>
  <c r="T26" i="10" s="1"/>
  <c r="T27" i="10" s="1"/>
  <c r="T28" i="10" s="1"/>
  <c r="T29" i="10" s="1"/>
  <c r="T30" i="10" s="1"/>
  <c r="T31" i="10" s="1"/>
  <c r="T32" i="10" s="1"/>
  <c r="T33" i="10" s="1"/>
  <c r="T34" i="10" s="1"/>
  <c r="T35" i="10" s="1"/>
  <c r="T16" i="10"/>
  <c r="T17" i="10" s="1"/>
  <c r="T18" i="10" s="1"/>
  <c r="T6" i="10"/>
  <c r="T7" i="10" s="1"/>
  <c r="T8" i="10" s="1"/>
  <c r="T9" i="10" s="1"/>
  <c r="T10" i="10" s="1"/>
  <c r="T11" i="10" s="1"/>
  <c r="T12" i="10" s="1"/>
  <c r="T13" i="10" s="1"/>
  <c r="T14" i="10" s="1"/>
  <c r="T15" i="10" s="1"/>
  <c r="T5" i="10"/>
  <c r="T24" i="11"/>
  <c r="T23" i="11"/>
  <c r="T22" i="11"/>
  <c r="T25" i="11" s="1"/>
  <c r="T26" i="11" s="1"/>
  <c r="T27" i="11" s="1"/>
  <c r="T28" i="11" s="1"/>
  <c r="T29" i="11" s="1"/>
  <c r="T30" i="11" s="1"/>
  <c r="T31" i="11" s="1"/>
  <c r="T32" i="11" s="1"/>
  <c r="T5" i="11"/>
  <c r="Q92" i="11" l="1"/>
  <c r="Q93" i="11"/>
  <c r="Q94" i="11"/>
  <c r="Q95" i="11"/>
  <c r="Q96" i="11"/>
  <c r="Q97" i="11"/>
  <c r="Q100" i="11"/>
  <c r="Q101" i="11"/>
  <c r="Q99" i="11"/>
  <c r="Q98" i="11"/>
  <c r="X20" i="13"/>
  <c r="X21" i="13"/>
  <c r="X22" i="13"/>
  <c r="X23" i="13"/>
  <c r="X24" i="13"/>
  <c r="X25" i="13"/>
  <c r="X26" i="13"/>
  <c r="X27" i="13"/>
  <c r="X28" i="13"/>
  <c r="X19" i="13"/>
  <c r="X7" i="13"/>
  <c r="X8" i="13"/>
  <c r="X9" i="13"/>
  <c r="X10" i="13"/>
  <c r="X11" i="13"/>
  <c r="X12" i="13"/>
  <c r="X13" i="13"/>
  <c r="X14" i="13"/>
  <c r="X15" i="13"/>
  <c r="X6" i="13"/>
  <c r="P92" i="11" l="1"/>
  <c r="AN11" i="15"/>
  <c r="AN10" i="15"/>
  <c r="AN9" i="15"/>
  <c r="AN8" i="15"/>
  <c r="AM11" i="15"/>
  <c r="AM10" i="15"/>
  <c r="AM9" i="15"/>
  <c r="AM8" i="15"/>
  <c r="AN7" i="15"/>
  <c r="AA39" i="15"/>
  <c r="AA38" i="15"/>
  <c r="AA37" i="15"/>
  <c r="AA36" i="15"/>
  <c r="AA35" i="15"/>
  <c r="AA32" i="15"/>
  <c r="AA31" i="15"/>
  <c r="AA30" i="15"/>
  <c r="AA29" i="15"/>
  <c r="AA28" i="15"/>
  <c r="AA25" i="15"/>
  <c r="AA24" i="15"/>
  <c r="AA23" i="15"/>
  <c r="AA22" i="15"/>
  <c r="AA21" i="15"/>
  <c r="O39" i="15"/>
  <c r="O38" i="15"/>
  <c r="O37" i="15"/>
  <c r="O36" i="15"/>
  <c r="O35" i="15"/>
  <c r="O32" i="15"/>
  <c r="O31" i="15"/>
  <c r="O30" i="15"/>
  <c r="O29" i="15"/>
  <c r="O28" i="15"/>
  <c r="O25" i="15"/>
  <c r="O24" i="15"/>
  <c r="O23" i="15"/>
  <c r="O22" i="15"/>
  <c r="O21" i="15"/>
  <c r="AA18" i="15"/>
  <c r="AA17" i="15"/>
  <c r="AA16" i="15"/>
  <c r="AA15" i="15"/>
  <c r="AA14" i="15"/>
  <c r="O18" i="15"/>
  <c r="O17" i="15"/>
  <c r="O16" i="15"/>
  <c r="O15" i="15"/>
  <c r="O14" i="15"/>
  <c r="AA11" i="15"/>
  <c r="O11" i="15"/>
  <c r="AA10" i="15"/>
  <c r="O10" i="15"/>
  <c r="AA9" i="15"/>
  <c r="O9" i="15"/>
  <c r="AA8" i="15"/>
  <c r="O8" i="15"/>
  <c r="AB36" i="15"/>
  <c r="AB37" i="15" s="1"/>
  <c r="AB38" i="15" s="1"/>
  <c r="AB39" i="15" s="1"/>
  <c r="AD35" i="15"/>
  <c r="AB30" i="15"/>
  <c r="AB31" i="15" s="1"/>
  <c r="AB32" i="15" s="1"/>
  <c r="AB29" i="15"/>
  <c r="AD28" i="15"/>
  <c r="AB22" i="15"/>
  <c r="AB23" i="15" s="1"/>
  <c r="AB24" i="15" s="1"/>
  <c r="AB25" i="15" s="1"/>
  <c r="AD21" i="15"/>
  <c r="AB16" i="15"/>
  <c r="AB17" i="15" s="1"/>
  <c r="AB18" i="15" s="1"/>
  <c r="AB15" i="15"/>
  <c r="AD14" i="15"/>
  <c r="AB8" i="15"/>
  <c r="AB9" i="15" s="1"/>
  <c r="AB10" i="15" s="1"/>
  <c r="AB11" i="15" s="1"/>
  <c r="AD7" i="15"/>
  <c r="AA7" i="15"/>
  <c r="R35" i="15"/>
  <c r="R28" i="15"/>
  <c r="R21" i="15"/>
  <c r="R14" i="15"/>
  <c r="R7" i="15"/>
  <c r="P36" i="15"/>
  <c r="P37" i="15" s="1"/>
  <c r="P38" i="15" s="1"/>
  <c r="P39" i="15" s="1"/>
  <c r="P29" i="15"/>
  <c r="P30" i="15" s="1"/>
  <c r="P31" i="15" s="1"/>
  <c r="P32" i="15" s="1"/>
  <c r="P23" i="15"/>
  <c r="P24" i="15" s="1"/>
  <c r="P25" i="15" s="1"/>
  <c r="P22" i="15"/>
  <c r="P15" i="15"/>
  <c r="P16" i="15" s="1"/>
  <c r="P17" i="15" s="1"/>
  <c r="P18" i="15" s="1"/>
  <c r="P10" i="15"/>
  <c r="P11" i="15" s="1"/>
  <c r="P9" i="15"/>
  <c r="P8" i="15"/>
  <c r="D4" i="15"/>
  <c r="F4" i="15"/>
  <c r="G4" i="15"/>
  <c r="H4" i="15" s="1"/>
  <c r="I4" i="15" s="1"/>
  <c r="D5" i="15"/>
  <c r="G6" i="15"/>
  <c r="O7" i="15"/>
  <c r="D9" i="15"/>
  <c r="F9" i="15"/>
  <c r="G9" i="15"/>
  <c r="H9" i="15"/>
  <c r="I9" i="15" s="1"/>
  <c r="D10" i="15"/>
  <c r="G11" i="15"/>
  <c r="D14" i="15"/>
  <c r="E14" i="15"/>
  <c r="F14" i="15" s="1"/>
  <c r="G14" i="15"/>
  <c r="H14" i="15"/>
  <c r="I14" i="15"/>
  <c r="D15" i="15"/>
  <c r="G16" i="15"/>
  <c r="D19" i="15"/>
  <c r="G19" i="15"/>
  <c r="H19" i="15" s="1"/>
  <c r="I19" i="15" s="1"/>
  <c r="D20" i="15"/>
  <c r="E19" i="15" s="1"/>
  <c r="G21" i="15"/>
  <c r="D24" i="15"/>
  <c r="G24" i="15"/>
  <c r="H24" i="15" s="1"/>
  <c r="I24" i="15" s="1"/>
  <c r="D25" i="15"/>
  <c r="E24" i="15" s="1"/>
  <c r="G26" i="15"/>
  <c r="D29" i="15"/>
  <c r="E29" i="15"/>
  <c r="F29" i="15" s="1"/>
  <c r="G29" i="15"/>
  <c r="H29" i="15" s="1"/>
  <c r="I29" i="15" s="1"/>
  <c r="D30" i="15"/>
  <c r="G31" i="15"/>
  <c r="D34" i="15"/>
  <c r="E34" i="15"/>
  <c r="F34" i="15"/>
  <c r="G34" i="15"/>
  <c r="H34" i="15" s="1"/>
  <c r="I34" i="15" s="1"/>
  <c r="D35" i="15"/>
  <c r="G36" i="15"/>
  <c r="D39" i="15"/>
  <c r="E39" i="15"/>
  <c r="F39" i="15"/>
  <c r="G39" i="15"/>
  <c r="H39" i="15" s="1"/>
  <c r="I39" i="15" s="1"/>
  <c r="D40" i="15"/>
  <c r="G41" i="15"/>
  <c r="D44" i="15"/>
  <c r="G44" i="15"/>
  <c r="H44" i="15"/>
  <c r="I44" i="15"/>
  <c r="D45" i="15"/>
  <c r="E44" i="15" s="1"/>
  <c r="G46" i="15"/>
  <c r="D49" i="15"/>
  <c r="G49" i="15"/>
  <c r="H49" i="15"/>
  <c r="I49" i="15"/>
  <c r="D50" i="15"/>
  <c r="E49" i="15" s="1"/>
  <c r="F49" i="15" s="1"/>
  <c r="G51" i="15"/>
  <c r="D55" i="15"/>
  <c r="G55" i="15"/>
  <c r="H55" i="15"/>
  <c r="I55" i="15"/>
  <c r="D56" i="15"/>
  <c r="E55" i="15" s="1"/>
  <c r="G57" i="15"/>
  <c r="D60" i="15"/>
  <c r="G60" i="15"/>
  <c r="H60" i="15"/>
  <c r="I60" i="15"/>
  <c r="D61" i="15"/>
  <c r="E60" i="15" s="1"/>
  <c r="F60" i="15" s="1"/>
  <c r="G62" i="15"/>
  <c r="D65" i="15"/>
  <c r="G65" i="15"/>
  <c r="H65" i="15"/>
  <c r="I65" i="15"/>
  <c r="D66" i="15"/>
  <c r="E65" i="15" s="1"/>
  <c r="G67" i="15"/>
  <c r="D70" i="15"/>
  <c r="G70" i="15"/>
  <c r="H70" i="15"/>
  <c r="I70" i="15"/>
  <c r="D71" i="15"/>
  <c r="E70" i="15" s="1"/>
  <c r="F70" i="15" s="1"/>
  <c r="G72" i="15"/>
  <c r="D75" i="15"/>
  <c r="G75" i="15"/>
  <c r="H75" i="15"/>
  <c r="I75" i="15"/>
  <c r="D76" i="15"/>
  <c r="E75" i="15" s="1"/>
  <c r="G77" i="15"/>
  <c r="D80" i="15"/>
  <c r="G80" i="15"/>
  <c r="H80" i="15"/>
  <c r="I80" i="15"/>
  <c r="D81" i="15"/>
  <c r="E80" i="15" s="1"/>
  <c r="F80" i="15" s="1"/>
  <c r="G82" i="15"/>
  <c r="D85" i="15"/>
  <c r="G85" i="15"/>
  <c r="H85" i="15"/>
  <c r="I85" i="15"/>
  <c r="D86" i="15"/>
  <c r="E85" i="15" s="1"/>
  <c r="G87" i="15"/>
  <c r="D90" i="15"/>
  <c r="G90" i="15"/>
  <c r="H90" i="15"/>
  <c r="I90" i="15"/>
  <c r="D91" i="15"/>
  <c r="E90" i="15" s="1"/>
  <c r="F90" i="15" s="1"/>
  <c r="G92" i="15"/>
  <c r="D95" i="15"/>
  <c r="G95" i="15"/>
  <c r="H95" i="15"/>
  <c r="I95" i="15"/>
  <c r="D96" i="15"/>
  <c r="E95" i="15" s="1"/>
  <c r="G97" i="15"/>
  <c r="D100" i="15"/>
  <c r="G100" i="15"/>
  <c r="H100" i="15"/>
  <c r="I100" i="15"/>
  <c r="D101" i="15"/>
  <c r="E100" i="15" s="1"/>
  <c r="F100" i="15" s="1"/>
  <c r="G102" i="15"/>
  <c r="D106" i="15"/>
  <c r="G106" i="15"/>
  <c r="H106" i="15"/>
  <c r="I106" i="15"/>
  <c r="D107" i="15"/>
  <c r="E106" i="15" s="1"/>
  <c r="G108" i="15"/>
  <c r="D111" i="15"/>
  <c r="G111" i="15"/>
  <c r="H111" i="15"/>
  <c r="I111" i="15"/>
  <c r="D112" i="15"/>
  <c r="E111" i="15" s="1"/>
  <c r="F111" i="15" s="1"/>
  <c r="G113" i="15"/>
  <c r="D116" i="15"/>
  <c r="G116" i="15"/>
  <c r="H116" i="15"/>
  <c r="I116" i="15"/>
  <c r="D117" i="15"/>
  <c r="E116" i="15" s="1"/>
  <c r="G118" i="15"/>
  <c r="D121" i="15"/>
  <c r="G121" i="15"/>
  <c r="H121" i="15"/>
  <c r="I121" i="15"/>
  <c r="D122" i="15"/>
  <c r="E121" i="15" s="1"/>
  <c r="F121" i="15" s="1"/>
  <c r="G123" i="15"/>
  <c r="D126" i="15"/>
  <c r="G126" i="15"/>
  <c r="H126" i="15"/>
  <c r="I126" i="15"/>
  <c r="D127" i="15"/>
  <c r="E126" i="15" s="1"/>
  <c r="G128" i="15"/>
  <c r="D131" i="15"/>
  <c r="G131" i="15"/>
  <c r="H131" i="15"/>
  <c r="I131" i="15"/>
  <c r="D132" i="15"/>
  <c r="E131" i="15" s="1"/>
  <c r="F131" i="15" s="1"/>
  <c r="G133" i="15"/>
  <c r="D136" i="15"/>
  <c r="G136" i="15"/>
  <c r="H136" i="15"/>
  <c r="I136" i="15"/>
  <c r="D137" i="15"/>
  <c r="E136" i="15" s="1"/>
  <c r="G138" i="15"/>
  <c r="D141" i="15"/>
  <c r="G141" i="15"/>
  <c r="H141" i="15"/>
  <c r="I141" i="15"/>
  <c r="D142" i="15"/>
  <c r="E141" i="15" s="1"/>
  <c r="F141" i="15" s="1"/>
  <c r="G143" i="15"/>
  <c r="D146" i="15"/>
  <c r="G146" i="15"/>
  <c r="H146" i="15"/>
  <c r="I146" i="15"/>
  <c r="D147" i="15"/>
  <c r="E146" i="15" s="1"/>
  <c r="G148" i="15"/>
  <c r="D151" i="15"/>
  <c r="G151" i="15"/>
  <c r="H151" i="15"/>
  <c r="I151" i="15"/>
  <c r="D152" i="15"/>
  <c r="E151" i="15" s="1"/>
  <c r="F151" i="15" s="1"/>
  <c r="G153" i="15"/>
  <c r="D157" i="15"/>
  <c r="G157" i="15"/>
  <c r="H157" i="15"/>
  <c r="I157" i="15"/>
  <c r="D158" i="15"/>
  <c r="E157" i="15" s="1"/>
  <c r="G159" i="15"/>
  <c r="D162" i="15"/>
  <c r="G162" i="15"/>
  <c r="H162" i="15"/>
  <c r="I162" i="15"/>
  <c r="D163" i="15"/>
  <c r="E162" i="15" s="1"/>
  <c r="F162" i="15" s="1"/>
  <c r="G164" i="15"/>
  <c r="D167" i="15"/>
  <c r="G167" i="15"/>
  <c r="H167" i="15"/>
  <c r="I167" i="15"/>
  <c r="D168" i="15"/>
  <c r="E167" i="15" s="1"/>
  <c r="G169" i="15"/>
  <c r="D172" i="15"/>
  <c r="G172" i="15"/>
  <c r="H172" i="15"/>
  <c r="I172" i="15"/>
  <c r="D173" i="15"/>
  <c r="E172" i="15" s="1"/>
  <c r="F172" i="15" s="1"/>
  <c r="G174" i="15"/>
  <c r="D177" i="15"/>
  <c r="G177" i="15"/>
  <c r="H177" i="15"/>
  <c r="I177" i="15"/>
  <c r="D178" i="15"/>
  <c r="E177" i="15" s="1"/>
  <c r="G179" i="15"/>
  <c r="D182" i="15"/>
  <c r="G182" i="15"/>
  <c r="H182" i="15"/>
  <c r="I182" i="15"/>
  <c r="D183" i="15"/>
  <c r="E182" i="15" s="1"/>
  <c r="F182" i="15" s="1"/>
  <c r="G184" i="15"/>
  <c r="D187" i="15"/>
  <c r="G187" i="15"/>
  <c r="H187" i="15"/>
  <c r="I187" i="15"/>
  <c r="D188" i="15"/>
  <c r="E187" i="15" s="1"/>
  <c r="G189" i="15"/>
  <c r="D192" i="15"/>
  <c r="G192" i="15"/>
  <c r="H192" i="15"/>
  <c r="I192" i="15"/>
  <c r="D193" i="15"/>
  <c r="E192" i="15" s="1"/>
  <c r="F192" i="15" s="1"/>
  <c r="G194" i="15"/>
  <c r="D197" i="15"/>
  <c r="G197" i="15"/>
  <c r="H197" i="15"/>
  <c r="I197" i="15"/>
  <c r="D198" i="15"/>
  <c r="E197" i="15" s="1"/>
  <c r="G199" i="15"/>
  <c r="D202" i="15"/>
  <c r="G202" i="15"/>
  <c r="H202" i="15"/>
  <c r="I202" i="15"/>
  <c r="D203" i="15"/>
  <c r="E202" i="15" s="1"/>
  <c r="F202" i="15" s="1"/>
  <c r="G204" i="15"/>
  <c r="D208" i="15"/>
  <c r="G208" i="15"/>
  <c r="H208" i="15"/>
  <c r="I208" i="15"/>
  <c r="D209" i="15"/>
  <c r="E208" i="15" s="1"/>
  <c r="G210" i="15"/>
  <c r="D213" i="15"/>
  <c r="G213" i="15"/>
  <c r="H213" i="15"/>
  <c r="I213" i="15"/>
  <c r="D214" i="15"/>
  <c r="E213" i="15" s="1"/>
  <c r="F213" i="15" s="1"/>
  <c r="G215" i="15"/>
  <c r="D218" i="15"/>
  <c r="G218" i="15"/>
  <c r="H218" i="15"/>
  <c r="I218" i="15"/>
  <c r="D219" i="15"/>
  <c r="E218" i="15" s="1"/>
  <c r="G220" i="15"/>
  <c r="D223" i="15"/>
  <c r="G223" i="15"/>
  <c r="H223" i="15"/>
  <c r="I223" i="15"/>
  <c r="D224" i="15"/>
  <c r="E223" i="15" s="1"/>
  <c r="F223" i="15" s="1"/>
  <c r="G225" i="15"/>
  <c r="D228" i="15"/>
  <c r="G228" i="15"/>
  <c r="H228" i="15"/>
  <c r="I228" i="15"/>
  <c r="D229" i="15"/>
  <c r="E228" i="15" s="1"/>
  <c r="G230" i="15"/>
  <c r="D233" i="15"/>
  <c r="G233" i="15"/>
  <c r="H233" i="15"/>
  <c r="I233" i="15"/>
  <c r="D234" i="15"/>
  <c r="E233" i="15" s="1"/>
  <c r="F233" i="15" s="1"/>
  <c r="G235" i="15"/>
  <c r="D238" i="15"/>
  <c r="G238" i="15"/>
  <c r="H238" i="15"/>
  <c r="I238" i="15"/>
  <c r="D239" i="15"/>
  <c r="E238" i="15" s="1"/>
  <c r="G240" i="15"/>
  <c r="D243" i="15"/>
  <c r="G243" i="15"/>
  <c r="H243" i="15"/>
  <c r="I243" i="15"/>
  <c r="D244" i="15"/>
  <c r="E243" i="15" s="1"/>
  <c r="F243" i="15" s="1"/>
  <c r="G245" i="15"/>
  <c r="D248" i="15"/>
  <c r="G248" i="15"/>
  <c r="H248" i="15"/>
  <c r="I248" i="15"/>
  <c r="D249" i="15"/>
  <c r="E248" i="15" s="1"/>
  <c r="G250" i="15"/>
  <c r="D253" i="15"/>
  <c r="G253" i="15"/>
  <c r="H253" i="15"/>
  <c r="I253" i="15"/>
  <c r="D254" i="15"/>
  <c r="E253" i="15" s="1"/>
  <c r="F253" i="15" s="1"/>
  <c r="G255" i="15"/>
  <c r="F19" i="15" l="1"/>
  <c r="F208" i="15"/>
  <c r="F146" i="15"/>
  <c r="F106" i="15"/>
  <c r="F65" i="15"/>
  <c r="F44" i="15"/>
  <c r="F24" i="15"/>
  <c r="F248" i="15"/>
  <c r="F228" i="15"/>
  <c r="F187" i="15"/>
  <c r="F167" i="15"/>
  <c r="F126" i="15"/>
  <c r="F85" i="15"/>
  <c r="F238" i="15"/>
  <c r="F218" i="15"/>
  <c r="F197" i="15"/>
  <c r="F177" i="15"/>
  <c r="F157" i="15"/>
  <c r="F136" i="15"/>
  <c r="F116" i="15"/>
  <c r="F95" i="15"/>
  <c r="F75" i="15"/>
  <c r="F55" i="15"/>
  <c r="Q66" i="11" l="1"/>
  <c r="Q65" i="11"/>
  <c r="Q64" i="11"/>
  <c r="Q63" i="11"/>
  <c r="Q62" i="11"/>
  <c r="Q61" i="11"/>
  <c r="Q60" i="11"/>
  <c r="Q59" i="11"/>
  <c r="Q58" i="11"/>
  <c r="Q57" i="11"/>
  <c r="Q56" i="11"/>
  <c r="Q84" i="11"/>
  <c r="Q83" i="11"/>
  <c r="Q82" i="11"/>
  <c r="Q81" i="11"/>
  <c r="Q80" i="11"/>
  <c r="Q79" i="11"/>
  <c r="Q78" i="11"/>
  <c r="Q77" i="11"/>
  <c r="Q76" i="11"/>
  <c r="Q75" i="11"/>
  <c r="Q74" i="11"/>
  <c r="Q49" i="11"/>
  <c r="Q48" i="11"/>
  <c r="Q47" i="11"/>
  <c r="Q46" i="11"/>
  <c r="Q45" i="11"/>
  <c r="Q44" i="11"/>
  <c r="Q43" i="11"/>
  <c r="Q42" i="11"/>
  <c r="Q39" i="11"/>
  <c r="U20" i="13" l="1"/>
  <c r="U21" i="13"/>
  <c r="U22" i="13"/>
  <c r="U23" i="13"/>
  <c r="U24" i="13"/>
  <c r="U25" i="13"/>
  <c r="U26" i="13"/>
  <c r="U27" i="13"/>
  <c r="U28" i="13"/>
  <c r="U19" i="13"/>
  <c r="T20" i="13"/>
  <c r="T21" i="13"/>
  <c r="T22" i="13"/>
  <c r="T23" i="13"/>
  <c r="T24" i="13"/>
  <c r="T25" i="13"/>
  <c r="T26" i="13"/>
  <c r="T27" i="13"/>
  <c r="T28" i="13"/>
  <c r="T19" i="13"/>
  <c r="U7" i="13"/>
  <c r="U8" i="13"/>
  <c r="U9" i="13"/>
  <c r="U10" i="13"/>
  <c r="U11" i="13"/>
  <c r="U12" i="13"/>
  <c r="U13" i="13"/>
  <c r="U14" i="13"/>
  <c r="U15" i="13"/>
  <c r="U6" i="13"/>
  <c r="T7" i="13"/>
  <c r="T8" i="13"/>
  <c r="T9" i="13"/>
  <c r="T10" i="13"/>
  <c r="T11" i="13"/>
  <c r="T12" i="13"/>
  <c r="T13" i="13"/>
  <c r="T14" i="13"/>
  <c r="T15" i="13"/>
  <c r="T6" i="13"/>
  <c r="Q9" i="10"/>
  <c r="Q8" i="10"/>
  <c r="Q6" i="10"/>
  <c r="Q7" i="10"/>
  <c r="Q10" i="10"/>
  <c r="Q11" i="10"/>
  <c r="Q12" i="10"/>
  <c r="Q13" i="10"/>
  <c r="Q14" i="10"/>
  <c r="Q15" i="10"/>
  <c r="Q16" i="10"/>
  <c r="Q17" i="10"/>
  <c r="Q18" i="10"/>
  <c r="Q24" i="10"/>
  <c r="Q25" i="10"/>
  <c r="Q26" i="10"/>
  <c r="Q27" i="10"/>
  <c r="Q28" i="10"/>
  <c r="Q29" i="10"/>
  <c r="Q30" i="10"/>
  <c r="Q31" i="10"/>
  <c r="Q32" i="10"/>
  <c r="Q33" i="10"/>
  <c r="Q34" i="10"/>
  <c r="Q35" i="10"/>
  <c r="Q23" i="10"/>
  <c r="Q25" i="11"/>
  <c r="Q24" i="11"/>
  <c r="Q26" i="11"/>
  <c r="Q27" i="11"/>
  <c r="Q28" i="11"/>
  <c r="Q29" i="11"/>
  <c r="Q30" i="11"/>
  <c r="Q31" i="11"/>
  <c r="Q32" i="11"/>
  <c r="Q23" i="11"/>
  <c r="Q15" i="11"/>
  <c r="Q14" i="11"/>
  <c r="Q13" i="11"/>
  <c r="Q12" i="11"/>
  <c r="Q11" i="11"/>
  <c r="Q10" i="11"/>
  <c r="Q9" i="11"/>
  <c r="Q8" i="11"/>
  <c r="R8" i="11"/>
  <c r="W28" i="13"/>
  <c r="V28" i="13"/>
  <c r="R28" i="13"/>
  <c r="Q28" i="13"/>
  <c r="O28" i="13"/>
  <c r="W27" i="13"/>
  <c r="V27" i="13"/>
  <c r="R27" i="13"/>
  <c r="Q27" i="13"/>
  <c r="O27" i="13"/>
  <c r="W26" i="13"/>
  <c r="V26" i="13"/>
  <c r="R26" i="13"/>
  <c r="Q26" i="13"/>
  <c r="O26" i="13"/>
  <c r="W25" i="13"/>
  <c r="V25" i="13"/>
  <c r="R25" i="13"/>
  <c r="Q25" i="13"/>
  <c r="O25" i="13"/>
  <c r="W24" i="13"/>
  <c r="V24" i="13"/>
  <c r="R24" i="13"/>
  <c r="Q24" i="13"/>
  <c r="O24" i="13"/>
  <c r="W23" i="13"/>
  <c r="V23" i="13"/>
  <c r="R23" i="13"/>
  <c r="Q23" i="13"/>
  <c r="O23" i="13"/>
  <c r="W22" i="13"/>
  <c r="V22" i="13"/>
  <c r="R22" i="13"/>
  <c r="Q22" i="13"/>
  <c r="O22" i="13"/>
  <c r="W21" i="13"/>
  <c r="V21" i="13"/>
  <c r="R21" i="13"/>
  <c r="Q21" i="13"/>
  <c r="O21" i="13"/>
  <c r="W20" i="13"/>
  <c r="V20" i="13"/>
  <c r="R20" i="13"/>
  <c r="Q20" i="13"/>
  <c r="O20" i="13"/>
  <c r="W19" i="13"/>
  <c r="V19" i="13"/>
  <c r="R19" i="13"/>
  <c r="Q19" i="13"/>
  <c r="O19" i="13"/>
  <c r="V18" i="13"/>
  <c r="U18" i="13"/>
  <c r="T18" i="13"/>
  <c r="W7" i="13"/>
  <c r="W8" i="13"/>
  <c r="W9" i="13"/>
  <c r="W10" i="13"/>
  <c r="W11" i="13"/>
  <c r="W12" i="13"/>
  <c r="W13" i="13"/>
  <c r="W14" i="13"/>
  <c r="W15" i="13"/>
  <c r="W6" i="13"/>
  <c r="V7" i="13"/>
  <c r="V8" i="13"/>
  <c r="V9" i="13"/>
  <c r="V10" i="13"/>
  <c r="V11" i="13"/>
  <c r="V12" i="13"/>
  <c r="V13" i="13"/>
  <c r="V14" i="13"/>
  <c r="V15" i="13"/>
  <c r="V6" i="13"/>
  <c r="R7" i="13"/>
  <c r="R8" i="13"/>
  <c r="R9" i="13"/>
  <c r="R10" i="13"/>
  <c r="R11" i="13"/>
  <c r="R12" i="13"/>
  <c r="R13" i="13"/>
  <c r="R14" i="13"/>
  <c r="R15" i="13"/>
  <c r="R6" i="13"/>
  <c r="Q7" i="13"/>
  <c r="Q8" i="13"/>
  <c r="Q9" i="13"/>
  <c r="Q10" i="13"/>
  <c r="Q11" i="13"/>
  <c r="Q12" i="13"/>
  <c r="Q13" i="13"/>
  <c r="Q14" i="13"/>
  <c r="Q15" i="13"/>
  <c r="Q6" i="13"/>
  <c r="O7" i="13"/>
  <c r="P8" i="13"/>
  <c r="P7" i="13"/>
  <c r="P6" i="13"/>
  <c r="P9" i="13"/>
  <c r="P10" i="13"/>
  <c r="P11" i="13"/>
  <c r="P12" i="13"/>
  <c r="P13" i="13"/>
  <c r="P14" i="13"/>
  <c r="P15" i="13"/>
  <c r="V5" i="13"/>
  <c r="U5" i="13"/>
  <c r="T5" i="13"/>
  <c r="O8" i="13"/>
  <c r="O9" i="13"/>
  <c r="O10" i="13"/>
  <c r="O11" i="13"/>
  <c r="O12" i="13"/>
  <c r="O13" i="13"/>
  <c r="O14" i="13"/>
  <c r="O15" i="13"/>
  <c r="O6" i="13"/>
  <c r="O35" i="10"/>
  <c r="O34" i="10"/>
  <c r="O18" i="10"/>
  <c r="O17" i="10"/>
  <c r="R17" i="10" s="1"/>
  <c r="R33" i="10"/>
  <c r="N35" i="10"/>
  <c r="N34" i="10"/>
  <c r="N18" i="10"/>
  <c r="N17" i="10"/>
  <c r="P17" i="10" l="1"/>
  <c r="R35" i="10"/>
  <c r="R34" i="10"/>
  <c r="R18" i="10"/>
  <c r="R32" i="11"/>
  <c r="R31" i="11"/>
  <c r="R30" i="11"/>
  <c r="R29" i="11"/>
  <c r="R28" i="11"/>
  <c r="R27" i="11"/>
  <c r="R26" i="11"/>
  <c r="R25" i="11"/>
  <c r="R24" i="11"/>
  <c r="R23" i="11"/>
  <c r="R15" i="11"/>
  <c r="R14" i="11"/>
  <c r="R13" i="11"/>
  <c r="R12" i="11"/>
  <c r="R11" i="11"/>
  <c r="R10" i="11"/>
  <c r="R9" i="11"/>
  <c r="O101" i="11"/>
  <c r="P101" i="11" s="1"/>
  <c r="O84" i="11"/>
  <c r="P84" i="11" s="1"/>
  <c r="O66" i="11"/>
  <c r="O49" i="11"/>
  <c r="R49" i="11" s="1"/>
  <c r="O32" i="11"/>
  <c r="O15" i="11"/>
  <c r="C345" i="11"/>
  <c r="G345" i="11" s="1"/>
  <c r="H345" i="11" s="1"/>
  <c r="I345" i="11" s="1"/>
  <c r="O100" i="11"/>
  <c r="O83" i="11"/>
  <c r="O65" i="11"/>
  <c r="O48" i="11"/>
  <c r="P48" i="11" s="1"/>
  <c r="O31" i="11"/>
  <c r="O14" i="11"/>
  <c r="O99" i="11"/>
  <c r="P99" i="11" s="1"/>
  <c r="O98" i="11"/>
  <c r="P98" i="11" s="1"/>
  <c r="O82" i="11"/>
  <c r="O81" i="11"/>
  <c r="O64" i="11"/>
  <c r="R65" i="11" s="1"/>
  <c r="O63" i="11"/>
  <c r="P63" i="11" s="1"/>
  <c r="O47" i="11"/>
  <c r="R47" i="11" s="1"/>
  <c r="O46" i="11"/>
  <c r="O30" i="11"/>
  <c r="O29" i="11"/>
  <c r="O13" i="11"/>
  <c r="O12" i="11"/>
  <c r="G372" i="11"/>
  <c r="D371" i="11"/>
  <c r="G370" i="11"/>
  <c r="H370" i="11" s="1"/>
  <c r="I370" i="11" s="1"/>
  <c r="E370" i="11"/>
  <c r="F370" i="11" s="1"/>
  <c r="D370" i="11"/>
  <c r="G367" i="11"/>
  <c r="D366" i="11"/>
  <c r="E365" i="11" s="1"/>
  <c r="F365" i="11" s="1"/>
  <c r="G365" i="11"/>
  <c r="H365" i="11" s="1"/>
  <c r="I365" i="11" s="1"/>
  <c r="D365" i="11"/>
  <c r="G362" i="11"/>
  <c r="D361" i="11"/>
  <c r="E360" i="11" s="1"/>
  <c r="F360" i="11" s="1"/>
  <c r="G360" i="11"/>
  <c r="H360" i="11" s="1"/>
  <c r="I360" i="11" s="1"/>
  <c r="D360" i="11"/>
  <c r="G357" i="11"/>
  <c r="D356" i="11"/>
  <c r="E355" i="11" s="1"/>
  <c r="F355" i="11" s="1"/>
  <c r="G355" i="11"/>
  <c r="H355" i="11" s="1"/>
  <c r="I355" i="11" s="1"/>
  <c r="D355" i="11"/>
  <c r="G352" i="11"/>
  <c r="D351" i="11"/>
  <c r="E350" i="11" s="1"/>
  <c r="F350" i="11" s="1"/>
  <c r="G350" i="11"/>
  <c r="H350" i="11" s="1"/>
  <c r="I350" i="11" s="1"/>
  <c r="D350" i="11"/>
  <c r="G347" i="11"/>
  <c r="D346" i="11"/>
  <c r="E345" i="11" s="1"/>
  <c r="F345" i="11" s="1"/>
  <c r="G341" i="11"/>
  <c r="D340" i="11"/>
  <c r="G339" i="11"/>
  <c r="H339" i="11" s="1"/>
  <c r="I339" i="11" s="1"/>
  <c r="E339" i="11"/>
  <c r="F339" i="11" s="1"/>
  <c r="D339" i="11"/>
  <c r="G336" i="11"/>
  <c r="D335" i="11"/>
  <c r="E334" i="11" s="1"/>
  <c r="F334" i="11" s="1"/>
  <c r="G334" i="11"/>
  <c r="H334" i="11" s="1"/>
  <c r="I334" i="11" s="1"/>
  <c r="D334" i="11"/>
  <c r="G331" i="11"/>
  <c r="D330" i="11"/>
  <c r="G329" i="11"/>
  <c r="H329" i="11" s="1"/>
  <c r="I329" i="11" s="1"/>
  <c r="E329" i="11"/>
  <c r="F329" i="11" s="1"/>
  <c r="D329" i="11"/>
  <c r="G326" i="11"/>
  <c r="D325" i="11"/>
  <c r="E324" i="11" s="1"/>
  <c r="F324" i="11" s="1"/>
  <c r="H324" i="11"/>
  <c r="I324" i="11" s="1"/>
  <c r="G324" i="11"/>
  <c r="D324" i="11"/>
  <c r="G321" i="11"/>
  <c r="D320" i="11"/>
  <c r="G319" i="11"/>
  <c r="H319" i="11" s="1"/>
  <c r="I319" i="11" s="1"/>
  <c r="E319" i="11"/>
  <c r="F319" i="11" s="1"/>
  <c r="D319" i="11"/>
  <c r="G316" i="11"/>
  <c r="D315" i="11"/>
  <c r="E314" i="11" s="1"/>
  <c r="F314" i="11" s="1"/>
  <c r="G314" i="11"/>
  <c r="H314" i="11" s="1"/>
  <c r="I314" i="11" s="1"/>
  <c r="D314" i="11"/>
  <c r="G310" i="11"/>
  <c r="D309" i="11"/>
  <c r="G308" i="11"/>
  <c r="H308" i="11" s="1"/>
  <c r="I308" i="11" s="1"/>
  <c r="E308" i="11"/>
  <c r="F308" i="11" s="1"/>
  <c r="D308" i="11"/>
  <c r="G305" i="11"/>
  <c r="D304" i="11"/>
  <c r="G303" i="11"/>
  <c r="H303" i="11" s="1"/>
  <c r="I303" i="11" s="1"/>
  <c r="E303" i="11"/>
  <c r="F303" i="11" s="1"/>
  <c r="D303" i="11"/>
  <c r="G300" i="11"/>
  <c r="D299" i="11"/>
  <c r="E298" i="11" s="1"/>
  <c r="F298" i="11" s="1"/>
  <c r="G298" i="11"/>
  <c r="H298" i="11" s="1"/>
  <c r="I298" i="11" s="1"/>
  <c r="D298" i="11"/>
  <c r="G295" i="11"/>
  <c r="D294" i="11"/>
  <c r="E293" i="11" s="1"/>
  <c r="F293" i="11" s="1"/>
  <c r="G293" i="11"/>
  <c r="H293" i="11" s="1"/>
  <c r="I293" i="11" s="1"/>
  <c r="D293" i="11"/>
  <c r="G290" i="11"/>
  <c r="D289" i="11"/>
  <c r="E288" i="11" s="1"/>
  <c r="F288" i="11" s="1"/>
  <c r="G288" i="11"/>
  <c r="H288" i="11" s="1"/>
  <c r="I288" i="11" s="1"/>
  <c r="D288" i="11"/>
  <c r="G285" i="11"/>
  <c r="D284" i="11"/>
  <c r="G283" i="11"/>
  <c r="H283" i="11" s="1"/>
  <c r="I283" i="11" s="1"/>
  <c r="E283" i="11"/>
  <c r="F283" i="11" s="1"/>
  <c r="D283" i="11"/>
  <c r="D247" i="11"/>
  <c r="D246" i="11"/>
  <c r="O96" i="11"/>
  <c r="O95" i="11"/>
  <c r="O94" i="11"/>
  <c r="O93" i="11"/>
  <c r="O92" i="11"/>
  <c r="O80" i="11"/>
  <c r="O79" i="11"/>
  <c r="P79" i="11" s="1"/>
  <c r="O78" i="11"/>
  <c r="R78" i="11" s="1"/>
  <c r="O77" i="11"/>
  <c r="R77" i="11" s="1"/>
  <c r="O76" i="11"/>
  <c r="O75" i="11"/>
  <c r="P75" i="11" s="1"/>
  <c r="N101" i="11"/>
  <c r="N100" i="11"/>
  <c r="R99" i="11"/>
  <c r="N99" i="11"/>
  <c r="N98" i="11"/>
  <c r="N97" i="11"/>
  <c r="P96" i="11"/>
  <c r="N96" i="11"/>
  <c r="N95" i="11"/>
  <c r="P94" i="11"/>
  <c r="N94" i="11"/>
  <c r="N93" i="11"/>
  <c r="R92" i="11"/>
  <c r="N92" i="11"/>
  <c r="P91" i="11"/>
  <c r="N84" i="11"/>
  <c r="N83" i="11"/>
  <c r="N82" i="11"/>
  <c r="N81" i="11"/>
  <c r="N80" i="11"/>
  <c r="N79" i="11"/>
  <c r="N78" i="11"/>
  <c r="P77" i="11"/>
  <c r="N77" i="11"/>
  <c r="N76" i="11"/>
  <c r="N75" i="11"/>
  <c r="O74" i="11"/>
  <c r="O62" i="11"/>
  <c r="R62" i="11" s="1"/>
  <c r="O45" i="11"/>
  <c r="R46" i="11" s="1"/>
  <c r="O28" i="11"/>
  <c r="O11" i="11"/>
  <c r="P11" i="11" s="1"/>
  <c r="G279" i="11"/>
  <c r="D278" i="11"/>
  <c r="G277" i="11"/>
  <c r="H277" i="11" s="1"/>
  <c r="I277" i="11" s="1"/>
  <c r="E277" i="11"/>
  <c r="F277" i="11" s="1"/>
  <c r="D277" i="11"/>
  <c r="G274" i="11"/>
  <c r="D273" i="11"/>
  <c r="E272" i="11" s="1"/>
  <c r="F272" i="11" s="1"/>
  <c r="G272" i="11"/>
  <c r="H272" i="11" s="1"/>
  <c r="I272" i="11" s="1"/>
  <c r="D272" i="11"/>
  <c r="G269" i="11"/>
  <c r="D268" i="11"/>
  <c r="G267" i="11"/>
  <c r="H267" i="11" s="1"/>
  <c r="I267" i="11" s="1"/>
  <c r="E267" i="11"/>
  <c r="F267" i="11" s="1"/>
  <c r="D267" i="11"/>
  <c r="G264" i="11"/>
  <c r="D263" i="11"/>
  <c r="G262" i="11"/>
  <c r="H262" i="11" s="1"/>
  <c r="I262" i="11" s="1"/>
  <c r="E262" i="11"/>
  <c r="F262" i="11" s="1"/>
  <c r="D262" i="11"/>
  <c r="G259" i="11"/>
  <c r="D258" i="11"/>
  <c r="E257" i="11" s="1"/>
  <c r="F257" i="11" s="1"/>
  <c r="G257" i="11"/>
  <c r="H257" i="11" s="1"/>
  <c r="I257" i="11" s="1"/>
  <c r="D257" i="11"/>
  <c r="G254" i="11"/>
  <c r="D253" i="11"/>
  <c r="E252" i="11" s="1"/>
  <c r="F252" i="11" s="1"/>
  <c r="G252" i="11"/>
  <c r="H252" i="11" s="1"/>
  <c r="I252" i="11" s="1"/>
  <c r="D252" i="11"/>
  <c r="O61" i="11"/>
  <c r="P61" i="11" s="1"/>
  <c r="O60" i="11"/>
  <c r="O59" i="11"/>
  <c r="P59" i="11" s="1"/>
  <c r="O58" i="11"/>
  <c r="O57" i="11"/>
  <c r="O44" i="11"/>
  <c r="R44" i="11" s="1"/>
  <c r="O43" i="11"/>
  <c r="O42" i="11"/>
  <c r="O41" i="11"/>
  <c r="O40" i="11"/>
  <c r="P66" i="11"/>
  <c r="N66" i="11"/>
  <c r="N65" i="11"/>
  <c r="P64" i="11"/>
  <c r="N64" i="11"/>
  <c r="N63" i="11"/>
  <c r="N62" i="11"/>
  <c r="N61" i="11"/>
  <c r="P60" i="11"/>
  <c r="N60" i="11"/>
  <c r="N59" i="11"/>
  <c r="R59" i="11"/>
  <c r="N58" i="11"/>
  <c r="R57" i="11"/>
  <c r="P57" i="11"/>
  <c r="N57" i="11"/>
  <c r="P56" i="11"/>
  <c r="N49" i="11"/>
  <c r="R48" i="11"/>
  <c r="N48" i="11"/>
  <c r="P47" i="11"/>
  <c r="N47" i="11"/>
  <c r="P46" i="11"/>
  <c r="N46" i="11"/>
  <c r="N45" i="11"/>
  <c r="N44" i="11"/>
  <c r="P43" i="11"/>
  <c r="N43" i="11"/>
  <c r="R43" i="11"/>
  <c r="N42" i="11"/>
  <c r="N41" i="11"/>
  <c r="N40" i="11"/>
  <c r="O39" i="11"/>
  <c r="O27" i="11"/>
  <c r="O10" i="11"/>
  <c r="G248" i="11"/>
  <c r="G246" i="11"/>
  <c r="H246" i="11" s="1"/>
  <c r="I246" i="11" s="1"/>
  <c r="E246" i="11"/>
  <c r="F246" i="11" s="1"/>
  <c r="G243" i="11"/>
  <c r="D242" i="11"/>
  <c r="E241" i="11" s="1"/>
  <c r="F241" i="11" s="1"/>
  <c r="G241" i="11"/>
  <c r="H241" i="11" s="1"/>
  <c r="I241" i="11" s="1"/>
  <c r="D241" i="11"/>
  <c r="G238" i="11"/>
  <c r="D237" i="11"/>
  <c r="E236" i="11" s="1"/>
  <c r="F236" i="11" s="1"/>
  <c r="G236" i="11"/>
  <c r="H236" i="11" s="1"/>
  <c r="I236" i="11" s="1"/>
  <c r="D236" i="11"/>
  <c r="G233" i="11"/>
  <c r="D232" i="11"/>
  <c r="E231" i="11" s="1"/>
  <c r="F231" i="11" s="1"/>
  <c r="G231" i="11"/>
  <c r="H231" i="11" s="1"/>
  <c r="I231" i="11" s="1"/>
  <c r="D231" i="11"/>
  <c r="G228" i="11"/>
  <c r="D227" i="11"/>
  <c r="G226" i="11"/>
  <c r="H226" i="11" s="1"/>
  <c r="I226" i="11" s="1"/>
  <c r="E226" i="11"/>
  <c r="F226" i="11" s="1"/>
  <c r="D226" i="11"/>
  <c r="G223" i="11"/>
  <c r="D222" i="11"/>
  <c r="E221" i="11" s="1"/>
  <c r="F221" i="11" s="1"/>
  <c r="G221" i="11"/>
  <c r="H221" i="11" s="1"/>
  <c r="I221" i="11" s="1"/>
  <c r="D221" i="11"/>
  <c r="G217" i="11"/>
  <c r="D216" i="11"/>
  <c r="E215" i="11" s="1"/>
  <c r="F215" i="11" s="1"/>
  <c r="G215" i="11"/>
  <c r="H215" i="11" s="1"/>
  <c r="I215" i="11" s="1"/>
  <c r="D215" i="11"/>
  <c r="G212" i="11"/>
  <c r="D211" i="11"/>
  <c r="E210" i="11" s="1"/>
  <c r="F210" i="11" s="1"/>
  <c r="G210" i="11"/>
  <c r="H210" i="11" s="1"/>
  <c r="I210" i="11" s="1"/>
  <c r="D210" i="11"/>
  <c r="G207" i="11"/>
  <c r="D206" i="11"/>
  <c r="E205" i="11" s="1"/>
  <c r="F205" i="11" s="1"/>
  <c r="G205" i="11"/>
  <c r="H205" i="11" s="1"/>
  <c r="I205" i="11" s="1"/>
  <c r="D205" i="11"/>
  <c r="G202" i="11"/>
  <c r="D201" i="11"/>
  <c r="E200" i="11" s="1"/>
  <c r="F200" i="11" s="1"/>
  <c r="G200" i="11"/>
  <c r="H200" i="11" s="1"/>
  <c r="I200" i="11" s="1"/>
  <c r="D200" i="11"/>
  <c r="G197" i="11"/>
  <c r="D196" i="11"/>
  <c r="E195" i="11" s="1"/>
  <c r="F195" i="11" s="1"/>
  <c r="G195" i="11"/>
  <c r="H195" i="11" s="1"/>
  <c r="I195" i="11" s="1"/>
  <c r="D195" i="11"/>
  <c r="G192" i="11"/>
  <c r="D191" i="11"/>
  <c r="E190" i="11" s="1"/>
  <c r="F190" i="11" s="1"/>
  <c r="G190" i="11"/>
  <c r="H190" i="11" s="1"/>
  <c r="I190" i="11" s="1"/>
  <c r="D190" i="11"/>
  <c r="O26" i="11"/>
  <c r="O25" i="11"/>
  <c r="O9" i="11"/>
  <c r="O8" i="11"/>
  <c r="G186" i="11"/>
  <c r="D185" i="11"/>
  <c r="E184" i="11" s="1"/>
  <c r="F184" i="11" s="1"/>
  <c r="G184" i="11"/>
  <c r="H184" i="11" s="1"/>
  <c r="I184" i="11" s="1"/>
  <c r="D184" i="11"/>
  <c r="G181" i="11"/>
  <c r="D180" i="11"/>
  <c r="E179" i="11" s="1"/>
  <c r="F179" i="11" s="1"/>
  <c r="G179" i="11"/>
  <c r="H179" i="11" s="1"/>
  <c r="I179" i="11" s="1"/>
  <c r="D179" i="11"/>
  <c r="G176" i="11"/>
  <c r="D175" i="11"/>
  <c r="E174" i="11" s="1"/>
  <c r="F174" i="11" s="1"/>
  <c r="G174" i="11"/>
  <c r="H174" i="11" s="1"/>
  <c r="I174" i="11" s="1"/>
  <c r="D174" i="11"/>
  <c r="G171" i="11"/>
  <c r="D170" i="11"/>
  <c r="E169" i="11" s="1"/>
  <c r="F169" i="11" s="1"/>
  <c r="G169" i="11"/>
  <c r="H169" i="11" s="1"/>
  <c r="I169" i="11" s="1"/>
  <c r="D169" i="11"/>
  <c r="G166" i="11"/>
  <c r="D165" i="11"/>
  <c r="E164" i="11" s="1"/>
  <c r="F164" i="11" s="1"/>
  <c r="G164" i="11"/>
  <c r="H164" i="11" s="1"/>
  <c r="I164" i="11" s="1"/>
  <c r="D164" i="11"/>
  <c r="G161" i="11"/>
  <c r="D160" i="11"/>
  <c r="E159" i="11" s="1"/>
  <c r="F159" i="11" s="1"/>
  <c r="G159" i="11"/>
  <c r="H159" i="11" s="1"/>
  <c r="I159" i="11" s="1"/>
  <c r="D159" i="11"/>
  <c r="G155" i="11"/>
  <c r="D154" i="11"/>
  <c r="E153" i="11" s="1"/>
  <c r="F153" i="11" s="1"/>
  <c r="G153" i="11"/>
  <c r="H153" i="11" s="1"/>
  <c r="I153" i="11" s="1"/>
  <c r="D153" i="11"/>
  <c r="G150" i="11"/>
  <c r="D149" i="11"/>
  <c r="E148" i="11" s="1"/>
  <c r="F148" i="11" s="1"/>
  <c r="G148" i="11"/>
  <c r="H148" i="11" s="1"/>
  <c r="I148" i="11" s="1"/>
  <c r="D148" i="11"/>
  <c r="G145" i="11"/>
  <c r="D144" i="11"/>
  <c r="E143" i="11" s="1"/>
  <c r="F143" i="11" s="1"/>
  <c r="G143" i="11"/>
  <c r="H143" i="11" s="1"/>
  <c r="I143" i="11" s="1"/>
  <c r="D143" i="11"/>
  <c r="G140" i="11"/>
  <c r="D139" i="11"/>
  <c r="E138" i="11" s="1"/>
  <c r="G138" i="11"/>
  <c r="H138" i="11" s="1"/>
  <c r="I138" i="11" s="1"/>
  <c r="D138" i="11"/>
  <c r="G135" i="11"/>
  <c r="D134" i="11"/>
  <c r="E133" i="11" s="1"/>
  <c r="G133" i="11"/>
  <c r="H133" i="11" s="1"/>
  <c r="I133" i="11" s="1"/>
  <c r="D133" i="11"/>
  <c r="G130" i="11"/>
  <c r="D129" i="11"/>
  <c r="E128" i="11" s="1"/>
  <c r="F128" i="11" s="1"/>
  <c r="G128" i="11"/>
  <c r="H128" i="11" s="1"/>
  <c r="I128" i="11" s="1"/>
  <c r="D128" i="11"/>
  <c r="O24" i="11"/>
  <c r="O23" i="11"/>
  <c r="O7" i="11"/>
  <c r="O6" i="11"/>
  <c r="R7" i="11" s="1"/>
  <c r="O5" i="11"/>
  <c r="G124" i="11"/>
  <c r="D123" i="11"/>
  <c r="E122" i="11" s="1"/>
  <c r="F122" i="11" s="1"/>
  <c r="G122" i="11"/>
  <c r="H122" i="11" s="1"/>
  <c r="I122" i="11" s="1"/>
  <c r="D122" i="11"/>
  <c r="G119" i="11"/>
  <c r="D118" i="11"/>
  <c r="G117" i="11"/>
  <c r="H117" i="11" s="1"/>
  <c r="I117" i="11" s="1"/>
  <c r="E117" i="11"/>
  <c r="F117" i="11" s="1"/>
  <c r="D117" i="11"/>
  <c r="G114" i="11"/>
  <c r="D113" i="11"/>
  <c r="G112" i="11"/>
  <c r="H112" i="11" s="1"/>
  <c r="I112" i="11" s="1"/>
  <c r="E112" i="11"/>
  <c r="F112" i="11" s="1"/>
  <c r="D112" i="11"/>
  <c r="G109" i="11"/>
  <c r="D108" i="11"/>
  <c r="E107" i="11" s="1"/>
  <c r="F107" i="11" s="1"/>
  <c r="G107" i="11"/>
  <c r="H107" i="11" s="1"/>
  <c r="I107" i="11" s="1"/>
  <c r="D107" i="11"/>
  <c r="G104" i="11"/>
  <c r="D103" i="11"/>
  <c r="E102" i="11" s="1"/>
  <c r="F102" i="11" s="1"/>
  <c r="G102" i="11"/>
  <c r="H102" i="11" s="1"/>
  <c r="I102" i="11" s="1"/>
  <c r="D102" i="11"/>
  <c r="G99" i="11"/>
  <c r="D98" i="11"/>
  <c r="E97" i="11" s="1"/>
  <c r="F97" i="11" s="1"/>
  <c r="G97" i="11"/>
  <c r="H97" i="11" s="1"/>
  <c r="I97" i="11" s="1"/>
  <c r="D97" i="11"/>
  <c r="F40" i="11"/>
  <c r="G93" i="11"/>
  <c r="D92" i="11"/>
  <c r="E91" i="11" s="1"/>
  <c r="F91" i="11" s="1"/>
  <c r="G91" i="11"/>
  <c r="H91" i="11" s="1"/>
  <c r="I91" i="11" s="1"/>
  <c r="D91" i="11"/>
  <c r="G88" i="11"/>
  <c r="D87" i="11"/>
  <c r="E86" i="11" s="1"/>
  <c r="F86" i="11" s="1"/>
  <c r="G86" i="11"/>
  <c r="H86" i="11" s="1"/>
  <c r="I86" i="11" s="1"/>
  <c r="D86" i="11"/>
  <c r="G83" i="11"/>
  <c r="D82" i="11"/>
  <c r="E81" i="11" s="1"/>
  <c r="F81" i="11" s="1"/>
  <c r="G81" i="11"/>
  <c r="H81" i="11" s="1"/>
  <c r="I81" i="11" s="1"/>
  <c r="D81" i="11"/>
  <c r="G78" i="11"/>
  <c r="D77" i="11"/>
  <c r="E76" i="11" s="1"/>
  <c r="F76" i="11" s="1"/>
  <c r="G76" i="11"/>
  <c r="H76" i="11" s="1"/>
  <c r="I76" i="11" s="1"/>
  <c r="D76" i="11"/>
  <c r="G73" i="11"/>
  <c r="D72" i="11"/>
  <c r="E71" i="11" s="1"/>
  <c r="F71" i="11" s="1"/>
  <c r="G71" i="11"/>
  <c r="H71" i="11" s="1"/>
  <c r="I71" i="11" s="1"/>
  <c r="D71" i="11"/>
  <c r="G68" i="11"/>
  <c r="D67" i="11"/>
  <c r="E66" i="11" s="1"/>
  <c r="F66" i="11" s="1"/>
  <c r="G66" i="11"/>
  <c r="H66" i="11" s="1"/>
  <c r="I66" i="11" s="1"/>
  <c r="D66" i="11"/>
  <c r="G184" i="10"/>
  <c r="D183" i="10"/>
  <c r="E182" i="10" s="1"/>
  <c r="F182" i="10" s="1"/>
  <c r="G182" i="10"/>
  <c r="H182" i="10" s="1"/>
  <c r="I182" i="10" s="1"/>
  <c r="D182" i="10"/>
  <c r="G179" i="10"/>
  <c r="D178" i="10"/>
  <c r="E177" i="10" s="1"/>
  <c r="F177" i="10" s="1"/>
  <c r="G177" i="10"/>
  <c r="H177" i="10" s="1"/>
  <c r="I177" i="10" s="1"/>
  <c r="D177" i="10"/>
  <c r="G173" i="10"/>
  <c r="D172" i="10"/>
  <c r="E171" i="10" s="1"/>
  <c r="F171" i="10" s="1"/>
  <c r="G171" i="10"/>
  <c r="H171" i="10" s="1"/>
  <c r="I171" i="10" s="1"/>
  <c r="D171" i="10"/>
  <c r="G168" i="10"/>
  <c r="D167" i="10"/>
  <c r="E166" i="10" s="1"/>
  <c r="F166" i="10" s="1"/>
  <c r="G166" i="10"/>
  <c r="H166" i="10" s="1"/>
  <c r="I166" i="10" s="1"/>
  <c r="D166" i="10"/>
  <c r="D35" i="11"/>
  <c r="G35" i="11"/>
  <c r="H35" i="11" s="1"/>
  <c r="I35" i="11" s="1"/>
  <c r="D36" i="11"/>
  <c r="G37" i="11"/>
  <c r="D40" i="11"/>
  <c r="G40" i="11"/>
  <c r="H40" i="11"/>
  <c r="I40" i="11" s="1"/>
  <c r="D41" i="11"/>
  <c r="G42" i="11"/>
  <c r="D45" i="11"/>
  <c r="G45" i="11"/>
  <c r="H45" i="11" s="1"/>
  <c r="I45" i="11" s="1"/>
  <c r="D46" i="11"/>
  <c r="E45" i="11" s="1"/>
  <c r="F45" i="11" s="1"/>
  <c r="G47" i="11"/>
  <c r="D50" i="11"/>
  <c r="G50" i="11"/>
  <c r="H50" i="11" s="1"/>
  <c r="I50" i="11" s="1"/>
  <c r="D51" i="11"/>
  <c r="E50" i="11" s="1"/>
  <c r="F50" i="11" s="1"/>
  <c r="G52" i="11"/>
  <c r="D55" i="11"/>
  <c r="G55" i="11"/>
  <c r="H55" i="11" s="1"/>
  <c r="I55" i="11" s="1"/>
  <c r="D56" i="11"/>
  <c r="E55" i="11" s="1"/>
  <c r="F55" i="11" s="1"/>
  <c r="G57" i="11"/>
  <c r="D60" i="11"/>
  <c r="G60" i="11"/>
  <c r="H60" i="11" s="1"/>
  <c r="I60" i="11" s="1"/>
  <c r="D61" i="11"/>
  <c r="E60" i="11" s="1"/>
  <c r="F60" i="11" s="1"/>
  <c r="G62" i="11"/>
  <c r="N32" i="11"/>
  <c r="G31" i="11"/>
  <c r="N31" i="11"/>
  <c r="D30" i="11"/>
  <c r="N30" i="11"/>
  <c r="G29" i="11"/>
  <c r="H29" i="11" s="1"/>
  <c r="I29" i="11" s="1"/>
  <c r="D29" i="11"/>
  <c r="N29" i="11"/>
  <c r="N28" i="11"/>
  <c r="N27" i="11"/>
  <c r="G26" i="11"/>
  <c r="N26" i="11"/>
  <c r="D25" i="11"/>
  <c r="N25" i="11"/>
  <c r="G24" i="11"/>
  <c r="H24" i="11" s="1"/>
  <c r="I24" i="11" s="1"/>
  <c r="D24" i="11"/>
  <c r="N24" i="11"/>
  <c r="N23" i="11"/>
  <c r="Q22" i="11"/>
  <c r="G21" i="11"/>
  <c r="D20" i="11"/>
  <c r="G19" i="11"/>
  <c r="H19" i="11" s="1"/>
  <c r="I19" i="11" s="1"/>
  <c r="F19" i="11"/>
  <c r="D19" i="11"/>
  <c r="G16" i="11"/>
  <c r="N15" i="11"/>
  <c r="D15" i="11"/>
  <c r="N14" i="11"/>
  <c r="G14" i="11"/>
  <c r="H14" i="11" s="1"/>
  <c r="I14" i="11" s="1"/>
  <c r="F14" i="11"/>
  <c r="D14" i="11"/>
  <c r="N13" i="11"/>
  <c r="P12" i="11"/>
  <c r="N12" i="11"/>
  <c r="N11" i="11"/>
  <c r="G11" i="11"/>
  <c r="N10" i="11"/>
  <c r="D10" i="11"/>
  <c r="P9" i="11"/>
  <c r="N9" i="11"/>
  <c r="G9" i="11"/>
  <c r="H9" i="11" s="1"/>
  <c r="I9" i="11" s="1"/>
  <c r="F9" i="11"/>
  <c r="D9" i="11"/>
  <c r="N8" i="11"/>
  <c r="N7" i="11"/>
  <c r="N6" i="11"/>
  <c r="G6" i="11"/>
  <c r="Q5" i="11"/>
  <c r="D5" i="11"/>
  <c r="G4" i="11"/>
  <c r="H4" i="11" s="1"/>
  <c r="I4" i="11" s="1"/>
  <c r="F4" i="11"/>
  <c r="D4" i="11"/>
  <c r="P40" i="11" l="1"/>
  <c r="Q41" i="11"/>
  <c r="Q40" i="11"/>
  <c r="T6" i="11"/>
  <c r="T7" i="11" s="1"/>
  <c r="T8" i="11" s="1"/>
  <c r="T9" i="11" s="1"/>
  <c r="T10" i="11" s="1"/>
  <c r="T11" i="11" s="1"/>
  <c r="T12" i="11" s="1"/>
  <c r="T13" i="11" s="1"/>
  <c r="T14" i="11" s="1"/>
  <c r="T15" i="11" s="1"/>
  <c r="Q6" i="11"/>
  <c r="R6" i="11"/>
  <c r="P6" i="11"/>
  <c r="Q7" i="11"/>
  <c r="R66" i="11"/>
  <c r="P49" i="11"/>
  <c r="D345" i="11"/>
  <c r="P100" i="11"/>
  <c r="R101" i="11"/>
  <c r="R84" i="11"/>
  <c r="P83" i="11"/>
  <c r="R83" i="11"/>
  <c r="P65" i="11"/>
  <c r="R100" i="11"/>
  <c r="P82" i="11"/>
  <c r="R82" i="11"/>
  <c r="P81" i="11"/>
  <c r="R64" i="11"/>
  <c r="O97" i="11"/>
  <c r="R97" i="11" s="1"/>
  <c r="R96" i="11"/>
  <c r="R95" i="11"/>
  <c r="R93" i="11"/>
  <c r="R80" i="11"/>
  <c r="R79" i="11"/>
  <c r="R75" i="11"/>
  <c r="P76" i="11"/>
  <c r="P93" i="11"/>
  <c r="R94" i="11"/>
  <c r="R76" i="11"/>
  <c r="P78" i="11"/>
  <c r="R81" i="11"/>
  <c r="P95" i="11"/>
  <c r="P80" i="11"/>
  <c r="R63" i="11"/>
  <c r="P62" i="11"/>
  <c r="P45" i="11"/>
  <c r="R41" i="11"/>
  <c r="R40" i="11"/>
  <c r="P42" i="11"/>
  <c r="R45" i="11"/>
  <c r="R42" i="11"/>
  <c r="P44" i="11"/>
  <c r="P58" i="11"/>
  <c r="P41" i="11"/>
  <c r="R61" i="11"/>
  <c r="R58" i="11"/>
  <c r="R60" i="11"/>
  <c r="F138" i="11"/>
  <c r="F133" i="11"/>
  <c r="P14" i="11"/>
  <c r="F24" i="11"/>
  <c r="P8" i="11"/>
  <c r="P10" i="11"/>
  <c r="P15" i="11"/>
  <c r="F29" i="11"/>
  <c r="N24" i="10"/>
  <c r="N25" i="10"/>
  <c r="N26" i="10"/>
  <c r="N27" i="10"/>
  <c r="N28" i="10"/>
  <c r="N29" i="10"/>
  <c r="N30" i="10"/>
  <c r="N31" i="10"/>
  <c r="N32" i="10"/>
  <c r="N33" i="10"/>
  <c r="N23" i="10"/>
  <c r="N7" i="10"/>
  <c r="N8" i="10"/>
  <c r="N9" i="10"/>
  <c r="N10" i="10"/>
  <c r="N11" i="10"/>
  <c r="N12" i="10"/>
  <c r="N13" i="10"/>
  <c r="N14" i="10"/>
  <c r="N15" i="10"/>
  <c r="N16" i="10"/>
  <c r="N6" i="10"/>
  <c r="O5" i="10"/>
  <c r="R6" i="10" s="1"/>
  <c r="R16" i="10"/>
  <c r="R15" i="10"/>
  <c r="R14" i="10"/>
  <c r="R13" i="10"/>
  <c r="R12" i="10"/>
  <c r="R11" i="10"/>
  <c r="R10" i="10"/>
  <c r="R9" i="10"/>
  <c r="R8" i="10"/>
  <c r="R7" i="10"/>
  <c r="R32" i="10"/>
  <c r="R31" i="10"/>
  <c r="R30" i="10"/>
  <c r="R29" i="10"/>
  <c r="R28" i="10"/>
  <c r="R27" i="10"/>
  <c r="R26" i="10"/>
  <c r="R25" i="10"/>
  <c r="R24" i="10"/>
  <c r="R23" i="10"/>
  <c r="O33" i="10"/>
  <c r="P16" i="10"/>
  <c r="O16" i="10"/>
  <c r="G162" i="10"/>
  <c r="D161" i="10"/>
  <c r="E160" i="10" s="1"/>
  <c r="F160" i="10" s="1"/>
  <c r="G160" i="10"/>
  <c r="H160" i="10" s="1"/>
  <c r="I160" i="10" s="1"/>
  <c r="D160" i="10"/>
  <c r="G157" i="10"/>
  <c r="D156" i="10"/>
  <c r="E155" i="10" s="1"/>
  <c r="F155" i="10" s="1"/>
  <c r="G155" i="10"/>
  <c r="H155" i="10" s="1"/>
  <c r="I155" i="10" s="1"/>
  <c r="D155" i="10"/>
  <c r="Q22" i="10"/>
  <c r="P22" i="10"/>
  <c r="P8" i="10"/>
  <c r="P7" i="10"/>
  <c r="P9" i="10"/>
  <c r="P10" i="10"/>
  <c r="P11" i="10"/>
  <c r="P12" i="10"/>
  <c r="P13" i="10"/>
  <c r="P14" i="10"/>
  <c r="P15" i="10"/>
  <c r="O32" i="10"/>
  <c r="O31" i="10"/>
  <c r="O30" i="10"/>
  <c r="O29" i="10"/>
  <c r="O28" i="10"/>
  <c r="O27" i="10"/>
  <c r="O26" i="10"/>
  <c r="O25" i="10"/>
  <c r="O24" i="10"/>
  <c r="O23" i="10"/>
  <c r="Q5" i="10"/>
  <c r="O15" i="10"/>
  <c r="O14" i="10"/>
  <c r="O13" i="10"/>
  <c r="O12" i="10"/>
  <c r="O11" i="10"/>
  <c r="O10" i="10"/>
  <c r="O9" i="10"/>
  <c r="O7" i="10"/>
  <c r="G151" i="10"/>
  <c r="H149" i="10"/>
  <c r="I149" i="10" s="1"/>
  <c r="G149" i="10"/>
  <c r="G146" i="10"/>
  <c r="G144" i="10"/>
  <c r="H144" i="10" s="1"/>
  <c r="I144" i="10" s="1"/>
  <c r="G140" i="10"/>
  <c r="G138" i="10"/>
  <c r="H138" i="10" s="1"/>
  <c r="I138" i="10" s="1"/>
  <c r="G135" i="10"/>
  <c r="H133" i="10"/>
  <c r="I133" i="10" s="1"/>
  <c r="G133" i="10"/>
  <c r="G129" i="10"/>
  <c r="H127" i="10"/>
  <c r="I127" i="10" s="1"/>
  <c r="G127" i="10"/>
  <c r="G124" i="10"/>
  <c r="G122" i="10"/>
  <c r="H122" i="10" s="1"/>
  <c r="I122" i="10" s="1"/>
  <c r="G119" i="10"/>
  <c r="H117" i="10"/>
  <c r="I117" i="10" s="1"/>
  <c r="G117" i="10"/>
  <c r="G114" i="10"/>
  <c r="G112" i="10"/>
  <c r="H112" i="10" s="1"/>
  <c r="I112" i="10" s="1"/>
  <c r="G108" i="10"/>
  <c r="G106" i="10"/>
  <c r="H106" i="10" s="1"/>
  <c r="I106" i="10" s="1"/>
  <c r="G103" i="10"/>
  <c r="G101" i="10"/>
  <c r="H101" i="10" s="1"/>
  <c r="I101" i="10" s="1"/>
  <c r="G97" i="10"/>
  <c r="G95" i="10"/>
  <c r="H95" i="10" s="1"/>
  <c r="I95" i="10" s="1"/>
  <c r="G92" i="10"/>
  <c r="G90" i="10"/>
  <c r="H90" i="10" s="1"/>
  <c r="I90" i="10" s="1"/>
  <c r="G86" i="10"/>
  <c r="G84" i="10"/>
  <c r="H84" i="10" s="1"/>
  <c r="I84" i="10" s="1"/>
  <c r="G81" i="10"/>
  <c r="G79" i="10"/>
  <c r="H79" i="10" s="1"/>
  <c r="I79" i="10" s="1"/>
  <c r="G75" i="10"/>
  <c r="G73" i="10"/>
  <c r="H73" i="10" s="1"/>
  <c r="I73" i="10" s="1"/>
  <c r="G70" i="10"/>
  <c r="G68" i="10"/>
  <c r="H68" i="10" s="1"/>
  <c r="I68" i="10" s="1"/>
  <c r="G64" i="10"/>
  <c r="H62" i="10"/>
  <c r="I62" i="10" s="1"/>
  <c r="G62" i="10"/>
  <c r="G59" i="10"/>
  <c r="G57" i="10"/>
  <c r="H57" i="10" s="1"/>
  <c r="I57" i="10" s="1"/>
  <c r="G53" i="10"/>
  <c r="G51" i="10"/>
  <c r="H51" i="10" s="1"/>
  <c r="I51" i="10" s="1"/>
  <c r="G48" i="10"/>
  <c r="G46" i="10"/>
  <c r="H46" i="10" s="1"/>
  <c r="I46" i="10" s="1"/>
  <c r="G43" i="10"/>
  <c r="G41" i="10"/>
  <c r="H41" i="10" s="1"/>
  <c r="I41" i="10" s="1"/>
  <c r="G38" i="10"/>
  <c r="G36" i="10"/>
  <c r="H36" i="10" s="1"/>
  <c r="I36" i="10" s="1"/>
  <c r="G32" i="10"/>
  <c r="G30" i="10"/>
  <c r="H30" i="10" s="1"/>
  <c r="I30" i="10" s="1"/>
  <c r="G27" i="10"/>
  <c r="G25" i="10"/>
  <c r="H25" i="10" s="1"/>
  <c r="I25" i="10" s="1"/>
  <c r="G21" i="10"/>
  <c r="G19" i="10"/>
  <c r="H19" i="10" s="1"/>
  <c r="I19" i="10" s="1"/>
  <c r="G16" i="10"/>
  <c r="G14" i="10"/>
  <c r="H14" i="10" s="1"/>
  <c r="I14" i="10" s="1"/>
  <c r="G11" i="10"/>
  <c r="G9" i="10"/>
  <c r="H9" i="10" s="1"/>
  <c r="I9" i="10" s="1"/>
  <c r="F149" i="10"/>
  <c r="F144" i="10"/>
  <c r="F138" i="10"/>
  <c r="F133" i="10"/>
  <c r="F127" i="10"/>
  <c r="F122" i="10"/>
  <c r="F117" i="10"/>
  <c r="F112" i="10"/>
  <c r="F106" i="10"/>
  <c r="F101" i="10"/>
  <c r="F95" i="10"/>
  <c r="F90" i="10"/>
  <c r="F84" i="10"/>
  <c r="F79" i="10"/>
  <c r="F73" i="10"/>
  <c r="F68" i="10"/>
  <c r="F62" i="10"/>
  <c r="F57" i="10"/>
  <c r="F51" i="10"/>
  <c r="F46" i="10"/>
  <c r="F41" i="10"/>
  <c r="F36" i="10"/>
  <c r="F30" i="10"/>
  <c r="F25" i="10"/>
  <c r="F19" i="10"/>
  <c r="F14" i="10"/>
  <c r="F9" i="10"/>
  <c r="F4" i="10"/>
  <c r="I4" i="10"/>
  <c r="H4" i="10"/>
  <c r="D150" i="10"/>
  <c r="E149" i="10" s="1"/>
  <c r="D149" i="10"/>
  <c r="D145" i="10"/>
  <c r="E144" i="10" s="1"/>
  <c r="D144" i="10"/>
  <c r="D139" i="10"/>
  <c r="E138" i="10" s="1"/>
  <c r="D138" i="10"/>
  <c r="D134" i="10"/>
  <c r="E133" i="10" s="1"/>
  <c r="D133" i="10"/>
  <c r="D128" i="10"/>
  <c r="E127" i="10" s="1"/>
  <c r="D127" i="10"/>
  <c r="D123" i="10"/>
  <c r="E122" i="10" s="1"/>
  <c r="D122" i="10"/>
  <c r="D118" i="10"/>
  <c r="E117" i="10" s="1"/>
  <c r="D117" i="10"/>
  <c r="D113" i="10"/>
  <c r="E112" i="10" s="1"/>
  <c r="D112" i="10"/>
  <c r="D107" i="10"/>
  <c r="E106" i="10" s="1"/>
  <c r="D106" i="10"/>
  <c r="D102" i="10"/>
  <c r="E101" i="10" s="1"/>
  <c r="D101" i="10"/>
  <c r="D96" i="10"/>
  <c r="E95" i="10" s="1"/>
  <c r="D95" i="10"/>
  <c r="D91" i="10"/>
  <c r="E90" i="10" s="1"/>
  <c r="D90" i="10"/>
  <c r="D85" i="10"/>
  <c r="E84" i="10" s="1"/>
  <c r="D84" i="10"/>
  <c r="D80" i="10"/>
  <c r="E79" i="10" s="1"/>
  <c r="D79" i="10"/>
  <c r="D74" i="10"/>
  <c r="E73" i="10" s="1"/>
  <c r="D73" i="10"/>
  <c r="D69" i="10"/>
  <c r="E68" i="10" s="1"/>
  <c r="D68" i="10"/>
  <c r="D63" i="10"/>
  <c r="E62" i="10" s="1"/>
  <c r="D62" i="10"/>
  <c r="D58" i="10"/>
  <c r="E57" i="10"/>
  <c r="D57" i="10"/>
  <c r="D52" i="10"/>
  <c r="E51" i="10" s="1"/>
  <c r="D51" i="10"/>
  <c r="D47" i="10"/>
  <c r="E46" i="10" s="1"/>
  <c r="D46" i="10"/>
  <c r="D42" i="10"/>
  <c r="E41" i="10" s="1"/>
  <c r="D41" i="10"/>
  <c r="D37" i="10"/>
  <c r="E36" i="10" s="1"/>
  <c r="D36" i="10"/>
  <c r="D31" i="10"/>
  <c r="D30" i="10"/>
  <c r="D26" i="10"/>
  <c r="D25" i="10"/>
  <c r="D20" i="10"/>
  <c r="D19" i="10"/>
  <c r="D15" i="10"/>
  <c r="D14" i="10"/>
  <c r="D10" i="10"/>
  <c r="D9" i="10"/>
  <c r="G6" i="10"/>
  <c r="D5" i="10"/>
  <c r="G4" i="10"/>
  <c r="D4" i="10"/>
  <c r="R98" i="11" l="1"/>
  <c r="P97" i="11"/>
  <c r="P13" i="11"/>
  <c r="P7" i="11"/>
</calcChain>
</file>

<file path=xl/sharedStrings.xml><?xml version="1.0" encoding="utf-8"?>
<sst xmlns="http://schemas.openxmlformats.org/spreadsheetml/2006/main" count="2407" uniqueCount="167">
  <si>
    <t xml:space="preserve">No </t>
  </si>
  <si>
    <t xml:space="preserve">Area </t>
  </si>
  <si>
    <t>Time</t>
  </si>
  <si>
    <t>styrene</t>
  </si>
  <si>
    <t>standard</t>
  </si>
  <si>
    <t>styrene oxide</t>
  </si>
  <si>
    <t>SD</t>
  </si>
  <si>
    <t>Styrene oxide [mM]</t>
  </si>
  <si>
    <t>Styrene oxide [g/L]</t>
  </si>
  <si>
    <t xml:space="preserve">TTN </t>
  </si>
  <si>
    <t>AVERAGE</t>
  </si>
  <si>
    <t>Normalized area</t>
  </si>
  <si>
    <t>Conversion (Area comparison)</t>
  </si>
  <si>
    <t>5uL injection volume, dilution in TBME 5:1000</t>
  </si>
  <si>
    <t>time</t>
  </si>
  <si>
    <t>TOF [1/h]</t>
  </si>
  <si>
    <t>tBuOOH [mM]</t>
  </si>
  <si>
    <t>0h - 1</t>
  </si>
  <si>
    <t>0h - 3</t>
  </si>
  <si>
    <t>0h - 5</t>
  </si>
  <si>
    <t>0h - 6</t>
  </si>
  <si>
    <t>1h - 5</t>
  </si>
  <si>
    <t>1h - 6</t>
  </si>
  <si>
    <t>2h - 1</t>
  </si>
  <si>
    <t>2h - 3</t>
  </si>
  <si>
    <t>2h - 5</t>
  </si>
  <si>
    <t>2h - 6</t>
  </si>
  <si>
    <t>3h - 5</t>
  </si>
  <si>
    <t>3h - 6</t>
  </si>
  <si>
    <t>4h - 5</t>
  </si>
  <si>
    <t>4h - 6</t>
  </si>
  <si>
    <t>5h - 5</t>
  </si>
  <si>
    <t>5h - 6</t>
  </si>
  <si>
    <t>6h - 5</t>
  </si>
  <si>
    <t>6h - 6</t>
  </si>
  <si>
    <t>18h - 5</t>
  </si>
  <si>
    <t>18h - 6</t>
  </si>
  <si>
    <t>5uL injection volume, dilution in TBME 1:1000</t>
  </si>
  <si>
    <t>20h - 1</t>
  </si>
  <si>
    <t>20h - 3</t>
  </si>
  <si>
    <t>20h - 5</t>
  </si>
  <si>
    <t>20h - 6</t>
  </si>
  <si>
    <t>22h - 5</t>
  </si>
  <si>
    <t>22h - 6</t>
  </si>
  <si>
    <t>24h - 5</t>
  </si>
  <si>
    <t>24h - 6</t>
  </si>
  <si>
    <t>free UPO</t>
  </si>
  <si>
    <t>styrene oxide [g/L]</t>
  </si>
  <si>
    <t>beads</t>
  </si>
  <si>
    <t>styrene oxide [mM]</t>
  </si>
  <si>
    <t>max</t>
  </si>
  <si>
    <t>44h - 5</t>
  </si>
  <si>
    <t>44h - 6</t>
  </si>
  <si>
    <t>conversion rate [mM/h]</t>
  </si>
  <si>
    <t>0h - 7</t>
  </si>
  <si>
    <t>0h - 8</t>
  </si>
  <si>
    <t>0h - 9</t>
  </si>
  <si>
    <t>0h - 10</t>
  </si>
  <si>
    <t>1h - 11</t>
  </si>
  <si>
    <t>1h - 12</t>
  </si>
  <si>
    <t>46h - 5</t>
  </si>
  <si>
    <t>46h - 6</t>
  </si>
  <si>
    <t>48h - 5</t>
  </si>
  <si>
    <t>48h - 6</t>
  </si>
  <si>
    <t>1h - 7</t>
  </si>
  <si>
    <t>1h - 8</t>
  </si>
  <si>
    <t>1h - 9</t>
  </si>
  <si>
    <t>1h - 10</t>
  </si>
  <si>
    <t>0h - 11</t>
  </si>
  <si>
    <t>0h - 12</t>
  </si>
  <si>
    <t>2h - 7</t>
  </si>
  <si>
    <t>2h - 8</t>
  </si>
  <si>
    <t>2h - 9</t>
  </si>
  <si>
    <t>2h - 10</t>
  </si>
  <si>
    <t>2h - 11</t>
  </si>
  <si>
    <t>2h - 12</t>
  </si>
  <si>
    <t>3h - 7</t>
  </si>
  <si>
    <t>3h - 8</t>
  </si>
  <si>
    <t>3h - 9</t>
  </si>
  <si>
    <t>3h - 10</t>
  </si>
  <si>
    <t>3h - 11</t>
  </si>
  <si>
    <t>3h - 12</t>
  </si>
  <si>
    <t>4h - 7</t>
  </si>
  <si>
    <t>4h - 8</t>
  </si>
  <si>
    <t>4h - 9</t>
  </si>
  <si>
    <t>4h - 10</t>
  </si>
  <si>
    <t>4h - 11</t>
  </si>
  <si>
    <t>4h - 12</t>
  </si>
  <si>
    <t>18h - 7</t>
  </si>
  <si>
    <t>18h - 8</t>
  </si>
  <si>
    <t>18h - 9</t>
  </si>
  <si>
    <t>18h - 10</t>
  </si>
  <si>
    <t>18h - 11</t>
  </si>
  <si>
    <t>18h - 12</t>
  </si>
  <si>
    <t>beads - all tBuOOH in one shot</t>
  </si>
  <si>
    <t>free UPO - all tBuOOH in one shot</t>
  </si>
  <si>
    <t>19h - 7</t>
  </si>
  <si>
    <t>19h - 8</t>
  </si>
  <si>
    <t>19h - 9</t>
  </si>
  <si>
    <t>19h - 10</t>
  </si>
  <si>
    <t>19h - 11</t>
  </si>
  <si>
    <t>19h - 12</t>
  </si>
  <si>
    <t>21h - 7</t>
  </si>
  <si>
    <t>21h - 8</t>
  </si>
  <si>
    <t>21h - 9</t>
  </si>
  <si>
    <t>21h - 10</t>
  </si>
  <si>
    <t>21h - 11</t>
  </si>
  <si>
    <t>21h - 12</t>
  </si>
  <si>
    <t>free UPO - tBuOOH for 24h</t>
  </si>
  <si>
    <t>beads - tBuOOH for 24h</t>
  </si>
  <si>
    <t>22h - 7</t>
  </si>
  <si>
    <t>22h - 8</t>
  </si>
  <si>
    <t>22h - 9</t>
  </si>
  <si>
    <t>22h - 10</t>
  </si>
  <si>
    <t>22h - 11</t>
  </si>
  <si>
    <t>22h - 12</t>
  </si>
  <si>
    <t>24h - 7</t>
  </si>
  <si>
    <t>24h - 8</t>
  </si>
  <si>
    <t>24h - 9</t>
  </si>
  <si>
    <t>24h - 10</t>
  </si>
  <si>
    <t>24h - 11</t>
  </si>
  <si>
    <t>24h - 12</t>
  </si>
  <si>
    <t>46h - 7</t>
  </si>
  <si>
    <t>46h - 8</t>
  </si>
  <si>
    <t>46h - 9</t>
  </si>
  <si>
    <t>46h - 10</t>
  </si>
  <si>
    <t>46h - 11</t>
  </si>
  <si>
    <t>46h - 12</t>
  </si>
  <si>
    <t>48h - 7</t>
  </si>
  <si>
    <t>48h - 8</t>
  </si>
  <si>
    <t>48h - 9</t>
  </si>
  <si>
    <t>48h - 10</t>
  </si>
  <si>
    <t>48h - 11</t>
  </si>
  <si>
    <t>48h - 12</t>
  </si>
  <si>
    <t>TTN</t>
  </si>
  <si>
    <t>CONTINIOUS SUPPLY</t>
  </si>
  <si>
    <t xml:space="preserve">free UPO </t>
  </si>
  <si>
    <t>ONE SHOT</t>
  </si>
  <si>
    <t>24h SUPPLY</t>
  </si>
  <si>
    <t>mM</t>
  </si>
  <si>
    <t>0h</t>
  </si>
  <si>
    <t>1h</t>
  </si>
  <si>
    <t>0.5h</t>
  </si>
  <si>
    <t>1.5h</t>
  </si>
  <si>
    <t>2h</t>
  </si>
  <si>
    <t>slope [mM/h]</t>
  </si>
  <si>
    <t xml:space="preserve">Average </t>
  </si>
  <si>
    <t>starting styrne oxide [mM]</t>
  </si>
  <si>
    <t>TOF [%]</t>
  </si>
  <si>
    <t>accumulated</t>
  </si>
  <si>
    <t>continious</t>
  </si>
  <si>
    <t>TOF</t>
  </si>
  <si>
    <t>one shot</t>
  </si>
  <si>
    <t>TTN with 18.5% yield</t>
  </si>
  <si>
    <t>TOF with 18.5% yield</t>
  </si>
  <si>
    <t>CONC WITH FINAL IMM YIELD</t>
  </si>
  <si>
    <t>free</t>
  </si>
  <si>
    <t>380mg</t>
  </si>
  <si>
    <t>37.95ul</t>
  </si>
  <si>
    <t>uM</t>
  </si>
  <si>
    <t xml:space="preserve">18.5% yield </t>
  </si>
  <si>
    <t xml:space="preserve">185% yield </t>
  </si>
  <si>
    <t>every 24h</t>
  </si>
  <si>
    <t>average continious</t>
  </si>
  <si>
    <t>ul</t>
  </si>
  <si>
    <t>peak area</t>
  </si>
  <si>
    <t>peak area / 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</si>
</sst>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"/>
    <numFmt numFmtId="165" formatCode="0.0"/>
    <numFmt numFmtId="166" formatCode="0.000%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42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70">
    <xf numFmtId="0" fontId="0" fillId="0" borderId="0" xfId="0"/>
    <xf numFmtId="0" fontId="0" fillId="2" borderId="0" xfId="0" applyFill="1"/>
    <xf numFmtId="2" fontId="0" fillId="0" borderId="0" xfId="0" applyNumberFormat="1"/>
    <xf numFmtId="0" fontId="0" fillId="3" borderId="0" xfId="0" applyFill="1"/>
    <xf numFmtId="0" fontId="0" fillId="0" borderId="0" xfId="0" applyBorder="1"/>
    <xf numFmtId="2" fontId="0" fillId="0" borderId="0" xfId="0" applyNumberFormat="1" applyBorder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5" xfId="0" applyBorder="1"/>
    <xf numFmtId="0" fontId="0" fillId="0" borderId="4" xfId="0" applyBorder="1"/>
    <xf numFmtId="0" fontId="0" fillId="0" borderId="7" xfId="0" applyBorder="1"/>
    <xf numFmtId="0" fontId="0" fillId="0" borderId="8" xfId="0" applyBorder="1"/>
    <xf numFmtId="2" fontId="0" fillId="0" borderId="4" xfId="0" applyNumberFormat="1" applyBorder="1"/>
    <xf numFmtId="2" fontId="0" fillId="0" borderId="6" xfId="0" applyNumberFormat="1" applyBorder="1"/>
    <xf numFmtId="0" fontId="0" fillId="0" borderId="0" xfId="0" applyFill="1" applyBorder="1"/>
    <xf numFmtId="10" fontId="0" fillId="0" borderId="8" xfId="1" applyNumberFormat="1" applyFont="1" applyBorder="1"/>
    <xf numFmtId="0" fontId="0" fillId="0" borderId="6" xfId="0" applyBorder="1"/>
    <xf numFmtId="164" fontId="2" fillId="0" borderId="0" xfId="0" applyNumberFormat="1" applyFont="1" applyBorder="1"/>
    <xf numFmtId="164" fontId="0" fillId="0" borderId="0" xfId="0" applyNumberFormat="1" applyBorder="1"/>
    <xf numFmtId="0" fontId="2" fillId="0" borderId="0" xfId="0" applyFont="1" applyFill="1" applyBorder="1"/>
    <xf numFmtId="0" fontId="0" fillId="0" borderId="0" xfId="0" applyFill="1"/>
    <xf numFmtId="0" fontId="2" fillId="0" borderId="0" xfId="0" applyFont="1"/>
    <xf numFmtId="0" fontId="2" fillId="0" borderId="1" xfId="0" applyFont="1" applyBorder="1"/>
    <xf numFmtId="0" fontId="2" fillId="0" borderId="2" xfId="0" applyFont="1" applyBorder="1"/>
    <xf numFmtId="0" fontId="2" fillId="0" borderId="3" xfId="0" applyFont="1" applyFill="1" applyBorder="1"/>
    <xf numFmtId="2" fontId="2" fillId="0" borderId="4" xfId="0" applyNumberFormat="1" applyFont="1" applyBorder="1"/>
    <xf numFmtId="0" fontId="2" fillId="0" borderId="0" xfId="0" applyFont="1" applyBorder="1"/>
    <xf numFmtId="2" fontId="2" fillId="0" borderId="0" xfId="0" applyNumberFormat="1" applyFont="1" applyBorder="1"/>
    <xf numFmtId="0" fontId="2" fillId="0" borderId="5" xfId="0" applyFont="1" applyBorder="1"/>
    <xf numFmtId="2" fontId="2" fillId="0" borderId="6" xfId="0" applyNumberFormat="1" applyFont="1" applyBorder="1"/>
    <xf numFmtId="0" fontId="2" fillId="0" borderId="7" xfId="0" applyFont="1" applyBorder="1"/>
    <xf numFmtId="10" fontId="2" fillId="0" borderId="8" xfId="1" applyNumberFormat="1" applyFont="1" applyBorder="1"/>
    <xf numFmtId="0" fontId="2" fillId="2" borderId="0" xfId="0" applyFont="1" applyFill="1"/>
    <xf numFmtId="0" fontId="2" fillId="0" borderId="0" xfId="0" applyFont="1" applyFill="1"/>
    <xf numFmtId="166" fontId="2" fillId="0" borderId="0" xfId="1" applyNumberFormat="1" applyFont="1"/>
    <xf numFmtId="10" fontId="2" fillId="0" borderId="0" xfId="1" applyNumberFormat="1" applyFont="1"/>
    <xf numFmtId="0" fontId="3" fillId="3" borderId="0" xfId="0" applyFont="1" applyFill="1" applyBorder="1"/>
    <xf numFmtId="165" fontId="3" fillId="3" borderId="0" xfId="0" applyNumberFormat="1" applyFont="1" applyFill="1" applyBorder="1"/>
    <xf numFmtId="165" fontId="3" fillId="0" borderId="0" xfId="0" applyNumberFormat="1" applyFont="1" applyFill="1" applyBorder="1"/>
    <xf numFmtId="10" fontId="2" fillId="0" borderId="7" xfId="1" applyNumberFormat="1" applyFont="1" applyBorder="1"/>
    <xf numFmtId="0" fontId="2" fillId="0" borderId="9" xfId="0" applyFont="1" applyFill="1" applyBorder="1"/>
    <xf numFmtId="0" fontId="2" fillId="0" borderId="10" xfId="0" applyFont="1" applyBorder="1"/>
    <xf numFmtId="10" fontId="2" fillId="0" borderId="11" xfId="1" applyNumberFormat="1" applyFont="1" applyBorder="1"/>
    <xf numFmtId="0" fontId="3" fillId="3" borderId="0" xfId="0" applyFont="1" applyFill="1"/>
    <xf numFmtId="0" fontId="3" fillId="3" borderId="1" xfId="0" applyFont="1" applyFill="1" applyBorder="1"/>
    <xf numFmtId="0" fontId="0" fillId="3" borderId="2" xfId="0" applyFill="1" applyBorder="1"/>
    <xf numFmtId="0" fontId="0" fillId="3" borderId="3" xfId="0" applyFill="1" applyBorder="1"/>
    <xf numFmtId="2" fontId="2" fillId="0" borderId="0" xfId="0" applyNumberFormat="1" applyFont="1"/>
    <xf numFmtId="164" fontId="2" fillId="0" borderId="0" xfId="0" applyNumberFormat="1" applyFont="1"/>
    <xf numFmtId="164" fontId="0" fillId="0" borderId="0" xfId="0" applyNumberFormat="1"/>
    <xf numFmtId="0" fontId="2" fillId="0" borderId="3" xfId="0" applyFont="1" applyBorder="1"/>
    <xf numFmtId="0" fontId="2" fillId="0" borderId="9" xfId="0" applyFont="1" applyBorder="1"/>
    <xf numFmtId="0" fontId="3" fillId="0" borderId="0" xfId="0" applyFont="1" applyFill="1"/>
    <xf numFmtId="2" fontId="0" fillId="0" borderId="0" xfId="0" applyNumberFormat="1" applyFill="1"/>
    <xf numFmtId="9" fontId="0" fillId="0" borderId="0" xfId="1" applyFont="1"/>
    <xf numFmtId="0" fontId="0" fillId="2" borderId="4" xfId="0" applyFill="1" applyBorder="1"/>
    <xf numFmtId="0" fontId="0" fillId="2" borderId="0" xfId="0" applyFill="1" applyBorder="1"/>
    <xf numFmtId="0" fontId="0" fillId="2" borderId="5" xfId="0" applyFill="1" applyBorder="1"/>
    <xf numFmtId="0" fontId="2" fillId="4" borderId="0" xfId="0" applyFont="1" applyFill="1"/>
    <xf numFmtId="0" fontId="3" fillId="5" borderId="0" xfId="0" applyFont="1" applyFill="1"/>
    <xf numFmtId="0" fontId="0" fillId="0" borderId="4" xfId="0" applyFill="1" applyBorder="1"/>
    <xf numFmtId="0" fontId="0" fillId="6" borderId="1" xfId="0" applyFill="1" applyBorder="1"/>
    <xf numFmtId="0" fontId="0" fillId="6" borderId="2" xfId="0" applyFill="1" applyBorder="1"/>
    <xf numFmtId="0" fontId="0" fillId="6" borderId="4" xfId="0" applyFill="1" applyBorder="1"/>
    <xf numFmtId="0" fontId="0" fillId="6" borderId="0" xfId="0" applyFill="1" applyBorder="1"/>
    <xf numFmtId="0" fontId="0" fillId="6" borderId="6" xfId="0" applyFill="1" applyBorder="1"/>
    <xf numFmtId="0" fontId="0" fillId="6" borderId="0" xfId="0" applyFill="1"/>
    <xf numFmtId="0" fontId="2" fillId="4" borderId="0" xfId="0" applyFont="1" applyFill="1" applyAlignment="1">
      <alignment horizontal="center"/>
    </xf>
    <xf numFmtId="2" fontId="3" fillId="3" borderId="0" xfId="0" applyNumberFormat="1" applyFont="1" applyFill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22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25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30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31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32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_rels/chart33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34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35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36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37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38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39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40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free UPO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smoothMarker"/>
        <c:varyColors val="0"/>
        <c:ser>
          <c:idx val="1"/>
          <c:order val="2"/>
          <c:tx>
            <c:v>styrene oxide</c:v>
          </c:tx>
          <c:xVal>
            <c:numRef>
              <c:f>'04112020'!$M$5:$M$16</c:f>
              <c:numCache>
                <c:formatCode>General</c:formatCode>
                <c:ptCount val="12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18</c:v>
                </c:pt>
                <c:pt idx="8">
                  <c:v>20</c:v>
                </c:pt>
                <c:pt idx="9">
                  <c:v>22</c:v>
                </c:pt>
                <c:pt idx="10">
                  <c:v>24</c:v>
                </c:pt>
                <c:pt idx="11">
                  <c:v>44</c:v>
                </c:pt>
              </c:numCache>
            </c:numRef>
          </c:xVal>
          <c:yVal>
            <c:numRef>
              <c:f>'04112020'!$O$5:$O$16</c:f>
              <c:numCache>
                <c:formatCode>0.00</c:formatCode>
                <c:ptCount val="12"/>
                <c:pt idx="0" formatCode="General">
                  <c:v>0</c:v>
                </c:pt>
                <c:pt idx="1">
                  <c:v>7.5035944329422595</c:v>
                </c:pt>
                <c:pt idx="2">
                  <c:v>15.04866833004526</c:v>
                </c:pt>
                <c:pt idx="3">
                  <c:v>27.447562358276645</c:v>
                </c:pt>
                <c:pt idx="4">
                  <c:v>33.414765544190324</c:v>
                </c:pt>
                <c:pt idx="5">
                  <c:v>41.229577896732465</c:v>
                </c:pt>
                <c:pt idx="6">
                  <c:v>49.080537181265342</c:v>
                </c:pt>
                <c:pt idx="7">
                  <c:v>109.86397411313519</c:v>
                </c:pt>
                <c:pt idx="8">
                  <c:v>109.93055555555556</c:v>
                </c:pt>
                <c:pt idx="9">
                  <c:v>110.88184931506849</c:v>
                </c:pt>
                <c:pt idx="10">
                  <c:v>113.3538732394366</c:v>
                </c:pt>
                <c:pt idx="11">
                  <c:v>124.0711620469083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9-B3BB-41C3-806B-1D04F78C2AB8}"/>
            </c:ext>
          </c:extLst>
        </c:ser>
        <c:ser>
          <c:idx val="0"/>
          <c:order val="3"/>
          <c:tx>
            <c:v>tBuOOH</c:v>
          </c:tx>
          <c:spPr>
            <a:ln>
              <a:solidFill>
                <a:schemeClr val="bg1">
                  <a:lumMod val="85000"/>
                  <a:alpha val="99000"/>
                </a:schemeClr>
              </a:solidFill>
            </a:ln>
          </c:spPr>
          <c:marker>
            <c:symbol val="circle"/>
            <c:size val="5"/>
            <c:spPr>
              <a:solidFill>
                <a:schemeClr val="bg1">
                  <a:lumMod val="85000"/>
                </a:schemeClr>
              </a:solidFill>
              <a:ln w="9525">
                <a:solidFill>
                  <a:schemeClr val="bg1">
                    <a:lumMod val="85000"/>
                  </a:schemeClr>
                </a:solidFill>
              </a:ln>
              <a:effectLst/>
            </c:spPr>
          </c:marker>
          <c:xVal>
            <c:numRef>
              <c:f>'04112020'!$M$5:$M$16</c:f>
              <c:numCache>
                <c:formatCode>General</c:formatCode>
                <c:ptCount val="12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18</c:v>
                </c:pt>
                <c:pt idx="8">
                  <c:v>20</c:v>
                </c:pt>
                <c:pt idx="9">
                  <c:v>22</c:v>
                </c:pt>
                <c:pt idx="10">
                  <c:v>24</c:v>
                </c:pt>
                <c:pt idx="11">
                  <c:v>44</c:v>
                </c:pt>
              </c:numCache>
            </c:numRef>
          </c:xVal>
          <c:yVal>
            <c:numRef>
              <c:f>'04112020'!$N$5:$N$16</c:f>
              <c:numCache>
                <c:formatCode>General</c:formatCode>
                <c:ptCount val="12"/>
                <c:pt idx="0">
                  <c:v>1</c:v>
                </c:pt>
                <c:pt idx="1">
                  <c:v>9.56</c:v>
                </c:pt>
                <c:pt idx="2">
                  <c:v>18.12</c:v>
                </c:pt>
                <c:pt idx="3">
                  <c:v>26.68</c:v>
                </c:pt>
                <c:pt idx="4">
                  <c:v>35.24</c:v>
                </c:pt>
                <c:pt idx="5">
                  <c:v>43.800000000000004</c:v>
                </c:pt>
                <c:pt idx="6">
                  <c:v>52.36</c:v>
                </c:pt>
                <c:pt idx="7">
                  <c:v>155.08000000000001</c:v>
                </c:pt>
                <c:pt idx="8">
                  <c:v>172.20000000000002</c:v>
                </c:pt>
                <c:pt idx="9">
                  <c:v>189.32000000000002</c:v>
                </c:pt>
                <c:pt idx="10">
                  <c:v>206.44</c:v>
                </c:pt>
                <c:pt idx="11">
                  <c:v>377.64000000000004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B-B3BB-41C3-806B-1D04F78C2AB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73442944"/>
        <c:axId val="389613856"/>
        <c:extLst>
          <c:ext xmlns:c15="http://schemas.microsoft.com/office/drawing/2012/chart" uri="{02D57815-91ED-43cb-92C2-25804820EDAC}">
            <c15:filteredScatterSeries>
              <c15:ser>
                <c:idx val="2"/>
                <c:order val="0"/>
                <c:xVal>
                  <c:numRef>
                    <c:extLst>
                      <c:ext uri="{02D57815-91ED-43cb-92C2-25804820EDAC}">
                        <c15:formulaRef>
                          <c15:sqref>'04112020'!$M$5:$M$15</c15:sqref>
                        </c15:formulaRef>
                      </c:ext>
                    </c:extLst>
                    <c:numCache>
                      <c:formatCode>General</c:formatCode>
                      <c:ptCount val="11"/>
                      <c:pt idx="0">
                        <c:v>0</c:v>
                      </c:pt>
                      <c:pt idx="1">
                        <c:v>1</c:v>
                      </c:pt>
                      <c:pt idx="2">
                        <c:v>2</c:v>
                      </c:pt>
                      <c:pt idx="3">
                        <c:v>3</c:v>
                      </c:pt>
                      <c:pt idx="4">
                        <c:v>4</c:v>
                      </c:pt>
                      <c:pt idx="5">
                        <c:v>5</c:v>
                      </c:pt>
                      <c:pt idx="6">
                        <c:v>6</c:v>
                      </c:pt>
                      <c:pt idx="7">
                        <c:v>18</c:v>
                      </c:pt>
                      <c:pt idx="8">
                        <c:v>20</c:v>
                      </c:pt>
                      <c:pt idx="9">
                        <c:v>22</c:v>
                      </c:pt>
                      <c:pt idx="10">
                        <c:v>24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'04112020'!$O$5:$O$15</c15:sqref>
                        </c15:formulaRef>
                      </c:ext>
                    </c:extLst>
                    <c:numCache>
                      <c:formatCode>0.00</c:formatCode>
                      <c:ptCount val="11"/>
                      <c:pt idx="0" formatCode="General">
                        <c:v>0</c:v>
                      </c:pt>
                      <c:pt idx="1">
                        <c:v>7.5035944329422595</c:v>
                      </c:pt>
                      <c:pt idx="2">
                        <c:v>15.04866833004526</c:v>
                      </c:pt>
                      <c:pt idx="3">
                        <c:v>27.447562358276645</c:v>
                      </c:pt>
                      <c:pt idx="4">
                        <c:v>33.414765544190324</c:v>
                      </c:pt>
                      <c:pt idx="5">
                        <c:v>41.229577896732465</c:v>
                      </c:pt>
                      <c:pt idx="6">
                        <c:v>49.080537181265342</c:v>
                      </c:pt>
                      <c:pt idx="7">
                        <c:v>109.86397411313519</c:v>
                      </c:pt>
                      <c:pt idx="8">
                        <c:v>109.93055555555556</c:v>
                      </c:pt>
                      <c:pt idx="9">
                        <c:v>110.88184931506849</c:v>
                      </c:pt>
                      <c:pt idx="10">
                        <c:v>113.3538732394366</c:v>
                      </c:pt>
                    </c:numCache>
                  </c:numRef>
                </c:yVal>
                <c:smooth val="1"/>
                <c:extLst>
                  <c:ext xmlns:c16="http://schemas.microsoft.com/office/drawing/2014/chart" uri="{C3380CC4-5D6E-409C-BE32-E72D297353CC}">
                    <c16:uniqueId val="{0000000C-B3BB-41C3-806B-1D04F78C2AB8}"/>
                  </c:ext>
                </c:extLst>
              </c15:ser>
            </c15:filteredScatterSeries>
            <c15:filteredScatterSeries>
              <c15:ser>
                <c:idx val="3"/>
                <c:order val="1"/>
                <c:spPr>
                  <a:ln>
                    <a:solidFill>
                      <a:schemeClr val="accent2"/>
                    </a:solidFill>
                  </a:ln>
                </c:spP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'04112020'!$M$5:$M$15</c15:sqref>
                        </c15:formulaRef>
                      </c:ext>
                    </c:extLst>
                    <c:numCache>
                      <c:formatCode>General</c:formatCode>
                      <c:ptCount val="11"/>
                      <c:pt idx="0">
                        <c:v>0</c:v>
                      </c:pt>
                      <c:pt idx="1">
                        <c:v>1</c:v>
                      </c:pt>
                      <c:pt idx="2">
                        <c:v>2</c:v>
                      </c:pt>
                      <c:pt idx="3">
                        <c:v>3</c:v>
                      </c:pt>
                      <c:pt idx="4">
                        <c:v>4</c:v>
                      </c:pt>
                      <c:pt idx="5">
                        <c:v>5</c:v>
                      </c:pt>
                      <c:pt idx="6">
                        <c:v>6</c:v>
                      </c:pt>
                      <c:pt idx="7">
                        <c:v>18</c:v>
                      </c:pt>
                      <c:pt idx="8">
                        <c:v>20</c:v>
                      </c:pt>
                      <c:pt idx="9">
                        <c:v>22</c:v>
                      </c:pt>
                      <c:pt idx="10">
                        <c:v>24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'04112020'!$O$5:$O$15</c15:sqref>
                        </c15:formulaRef>
                      </c:ext>
                    </c:extLst>
                    <c:numCache>
                      <c:formatCode>0.00</c:formatCode>
                      <c:ptCount val="11"/>
                      <c:pt idx="0" formatCode="General">
                        <c:v>0</c:v>
                      </c:pt>
                      <c:pt idx="1">
                        <c:v>7.5035944329422595</c:v>
                      </c:pt>
                      <c:pt idx="2">
                        <c:v>15.04866833004526</c:v>
                      </c:pt>
                      <c:pt idx="3">
                        <c:v>27.447562358276645</c:v>
                      </c:pt>
                      <c:pt idx="4">
                        <c:v>33.414765544190324</c:v>
                      </c:pt>
                      <c:pt idx="5">
                        <c:v>41.229577896732465</c:v>
                      </c:pt>
                      <c:pt idx="6">
                        <c:v>49.080537181265342</c:v>
                      </c:pt>
                      <c:pt idx="7">
                        <c:v>109.86397411313519</c:v>
                      </c:pt>
                      <c:pt idx="8">
                        <c:v>109.93055555555556</c:v>
                      </c:pt>
                      <c:pt idx="9">
                        <c:v>110.88184931506849</c:v>
                      </c:pt>
                      <c:pt idx="10">
                        <c:v>113.3538732394366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D-B3BB-41C3-806B-1D04F78C2AB8}"/>
                  </c:ext>
                </c:extLst>
              </c15:ser>
            </c15:filteredScatterSeries>
          </c:ext>
        </c:extLst>
      </c:scatterChart>
      <c:valAx>
        <c:axId val="27344294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time [h]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89613856"/>
        <c:crosses val="autoZero"/>
        <c:crossBetween val="midCat"/>
      </c:valAx>
      <c:valAx>
        <c:axId val="3896138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baseline="0"/>
                  <a:t>concentration [mM]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73442944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  <c:extLst/>
  </c:chart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free UPO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smoothMarker"/>
        <c:varyColors val="0"/>
        <c:ser>
          <c:idx val="1"/>
          <c:order val="0"/>
          <c:xVal>
            <c:numRef>
              <c:f>'06112020'!$M$5:$M$16</c:f>
              <c:numCache>
                <c:formatCode>General</c:formatCode>
                <c:ptCount val="12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18</c:v>
                </c:pt>
                <c:pt idx="6">
                  <c:v>20</c:v>
                </c:pt>
                <c:pt idx="7">
                  <c:v>22</c:v>
                </c:pt>
                <c:pt idx="8">
                  <c:v>24</c:v>
                </c:pt>
                <c:pt idx="9">
                  <c:v>46</c:v>
                </c:pt>
                <c:pt idx="10">
                  <c:v>48</c:v>
                </c:pt>
              </c:numCache>
            </c:numRef>
          </c:xVal>
          <c:yVal>
            <c:numRef>
              <c:f>'06112020'!$Q$5:$Q$16</c:f>
              <c:numCache>
                <c:formatCode>General</c:formatCode>
                <c:ptCount val="12"/>
                <c:pt idx="0">
                  <c:v>0</c:v>
                </c:pt>
                <c:pt idx="1">
                  <c:v>12651.592588770944</c:v>
                </c:pt>
                <c:pt idx="2">
                  <c:v>4644.1198782370102</c:v>
                </c:pt>
                <c:pt idx="3">
                  <c:v>3649.1163419111372</c:v>
                </c:pt>
                <c:pt idx="4">
                  <c:v>1975.1979243229243</c:v>
                </c:pt>
                <c:pt idx="5">
                  <c:v>915.81487568436728</c:v>
                </c:pt>
                <c:pt idx="6">
                  <c:v>-498.1989227356558</c:v>
                </c:pt>
                <c:pt idx="7">
                  <c:v>326.05675809613166</c:v>
                </c:pt>
                <c:pt idx="8">
                  <c:v>-450.05843044308466</c:v>
                </c:pt>
                <c:pt idx="9">
                  <c:v>125.38522140860924</c:v>
                </c:pt>
                <c:pt idx="10">
                  <c:v>53.601649181235388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ABBF-48B7-9EB6-A46E3E204C0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73442944"/>
        <c:axId val="389613856"/>
      </c:scatterChart>
      <c:valAx>
        <c:axId val="27344294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time [h]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89613856"/>
        <c:crosses val="autoZero"/>
        <c:crossBetween val="midCat"/>
      </c:valAx>
      <c:valAx>
        <c:axId val="3896138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TOF [1/h]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73442944"/>
        <c:crosses val="autoZero"/>
        <c:crossBetween val="midCat"/>
      </c:valAx>
    </c:plotArea>
    <c:plotVisOnly val="1"/>
    <c:dispBlanksAs val="gap"/>
    <c:showDLblsOverMax val="0"/>
    <c:extLst/>
  </c:chart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beads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'06112020'!$M$22:$M$33</c:f>
              <c:numCache>
                <c:formatCode>General</c:formatCode>
                <c:ptCount val="12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18</c:v>
                </c:pt>
                <c:pt idx="6">
                  <c:v>20</c:v>
                </c:pt>
                <c:pt idx="7">
                  <c:v>22</c:v>
                </c:pt>
                <c:pt idx="8">
                  <c:v>24</c:v>
                </c:pt>
                <c:pt idx="9">
                  <c:v>46</c:v>
                </c:pt>
                <c:pt idx="10">
                  <c:v>48</c:v>
                </c:pt>
              </c:numCache>
            </c:numRef>
          </c:xVal>
          <c:yVal>
            <c:numRef>
              <c:f>'06112020'!$Q$22:$Q$33</c:f>
              <c:numCache>
                <c:formatCode>General</c:formatCode>
                <c:ptCount val="12"/>
                <c:pt idx="0">
                  <c:v>0</c:v>
                </c:pt>
                <c:pt idx="1">
                  <c:v>9632.6022777429789</c:v>
                </c:pt>
                <c:pt idx="2">
                  <c:v>5465.3859609075025</c:v>
                </c:pt>
                <c:pt idx="3">
                  <c:v>9496.8661836165047</c:v>
                </c:pt>
                <c:pt idx="4">
                  <c:v>12077.892239930359</c:v>
                </c:pt>
                <c:pt idx="5">
                  <c:v>6511.8635902565575</c:v>
                </c:pt>
                <c:pt idx="6">
                  <c:v>17.9880046991277</c:v>
                </c:pt>
                <c:pt idx="7">
                  <c:v>-11.533675441844322</c:v>
                </c:pt>
                <c:pt idx="8">
                  <c:v>1705.13787404853</c:v>
                </c:pt>
                <c:pt idx="9">
                  <c:v>386.52978255245301</c:v>
                </c:pt>
                <c:pt idx="10">
                  <c:v>-621.202184396353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238F-4418-8737-5DC2993EC09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73442944"/>
        <c:axId val="389613856"/>
      </c:scatterChart>
      <c:valAx>
        <c:axId val="27344294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time [h]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89613856"/>
        <c:crosses val="autoZero"/>
        <c:crossBetween val="midCat"/>
      </c:valAx>
      <c:valAx>
        <c:axId val="3896138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TOF</a:t>
                </a:r>
                <a:r>
                  <a:rPr lang="en-GB" baseline="0"/>
                  <a:t> [1/h]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7344294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TTN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14497987210750429"/>
          <c:y val="0.12452988312179286"/>
          <c:w val="0.81042661195057841"/>
          <c:h val="0.72638576417620826"/>
        </c:manualLayout>
      </c:layout>
      <c:scatterChart>
        <c:scatterStyle val="smoothMarker"/>
        <c:varyColors val="0"/>
        <c:ser>
          <c:idx val="0"/>
          <c:order val="0"/>
          <c:tx>
            <c:v>beads</c:v>
          </c:tx>
          <c:xVal>
            <c:numRef>
              <c:f>'06112020'!$M$22:$M$33</c:f>
              <c:numCache>
                <c:formatCode>General</c:formatCode>
                <c:ptCount val="12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18</c:v>
                </c:pt>
                <c:pt idx="6">
                  <c:v>20</c:v>
                </c:pt>
                <c:pt idx="7">
                  <c:v>22</c:v>
                </c:pt>
                <c:pt idx="8">
                  <c:v>24</c:v>
                </c:pt>
                <c:pt idx="9">
                  <c:v>46</c:v>
                </c:pt>
                <c:pt idx="10">
                  <c:v>48</c:v>
                </c:pt>
              </c:numCache>
            </c:numRef>
          </c:xVal>
          <c:yVal>
            <c:numRef>
              <c:f>'06112020'!$P$22:$P$33</c:f>
              <c:numCache>
                <c:formatCode>0.00</c:formatCode>
                <c:ptCount val="12"/>
                <c:pt idx="0">
                  <c:v>0</c:v>
                </c:pt>
                <c:pt idx="1">
                  <c:v>5243.0619992778238</c:v>
                </c:pt>
                <c:pt idx="2">
                  <c:v>8217.8923324300085</c:v>
                </c:pt>
                <c:pt idx="3">
                  <c:v>13387.072660221271</c:v>
                </c:pt>
                <c:pt idx="4">
                  <c:v>19961.115271828934</c:v>
                </c:pt>
                <c:pt idx="5">
                  <c:v>69583.164402644732</c:v>
                </c:pt>
                <c:pt idx="6">
                  <c:v>69602.746281177955</c:v>
                </c:pt>
                <c:pt idx="7">
                  <c:v>69590.190634494429</c:v>
                </c:pt>
                <c:pt idx="8">
                  <c:v>71446.416674597887</c:v>
                </c:pt>
                <c:pt idx="9">
                  <c:v>76074.988501112079</c:v>
                </c:pt>
                <c:pt idx="10">
                  <c:v>75398.743085186929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3805-44A2-9622-DA0FD11298DA}"/>
            </c:ext>
          </c:extLst>
        </c:ser>
        <c:ser>
          <c:idx val="1"/>
          <c:order val="1"/>
          <c:tx>
            <c:v>free UPO</c:v>
          </c:tx>
          <c:marker>
            <c:symbol val="circle"/>
            <c:size val="5"/>
          </c:marker>
          <c:xVal>
            <c:numRef>
              <c:f>'06112020'!$M$5:$M$16</c:f>
              <c:numCache>
                <c:formatCode>General</c:formatCode>
                <c:ptCount val="12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18</c:v>
                </c:pt>
                <c:pt idx="6">
                  <c:v>20</c:v>
                </c:pt>
                <c:pt idx="7">
                  <c:v>22</c:v>
                </c:pt>
                <c:pt idx="8">
                  <c:v>24</c:v>
                </c:pt>
                <c:pt idx="9">
                  <c:v>46</c:v>
                </c:pt>
                <c:pt idx="10">
                  <c:v>48</c:v>
                </c:pt>
              </c:numCache>
            </c:numRef>
          </c:xVal>
          <c:yVal>
            <c:numRef>
              <c:f>'06112020'!$P$5:$P$16</c:f>
              <c:numCache>
                <c:formatCode>0.00</c:formatCode>
                <c:ptCount val="12"/>
                <c:pt idx="0">
                  <c:v>0</c:v>
                </c:pt>
                <c:pt idx="1">
                  <c:v>12651.592588770944</c:v>
                </c:pt>
                <c:pt idx="2">
                  <c:v>17295.712467007954</c:v>
                </c:pt>
                <c:pt idx="3">
                  <c:v>20944.82880891909</c:v>
                </c:pt>
                <c:pt idx="4">
                  <c:v>22920.026733242015</c:v>
                </c:pt>
                <c:pt idx="5">
                  <c:v>35741.434992823153</c:v>
                </c:pt>
                <c:pt idx="6">
                  <c:v>34745.037147351846</c:v>
                </c:pt>
                <c:pt idx="7">
                  <c:v>35397.150663544111</c:v>
                </c:pt>
                <c:pt idx="8">
                  <c:v>34497.033802657941</c:v>
                </c:pt>
                <c:pt idx="9">
                  <c:v>37255.508673647346</c:v>
                </c:pt>
                <c:pt idx="10">
                  <c:v>37362.711972009813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3805-44A2-9622-DA0FD11298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73442944"/>
        <c:axId val="389613856"/>
      </c:scatterChart>
      <c:valAx>
        <c:axId val="27344294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time [h]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89613856"/>
        <c:crosses val="autoZero"/>
        <c:crossBetween val="midCat"/>
      </c:valAx>
      <c:valAx>
        <c:axId val="3896138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TTN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73442944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77607400065310794"/>
          <c:y val="0.15404949544886146"/>
          <c:w val="0.15978992478707463"/>
          <c:h val="0.11997200950882643"/>
        </c:manualLayout>
      </c:layout>
      <c:overlay val="0"/>
    </c:legend>
    <c:plotVisOnly val="1"/>
    <c:dispBlanksAs val="gap"/>
    <c:showDLblsOverMax val="0"/>
    <c:extLst/>
  </c:chart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free UPO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smoothMarker"/>
        <c:varyColors val="0"/>
        <c:ser>
          <c:idx val="1"/>
          <c:order val="0"/>
          <c:xVal>
            <c:numRef>
              <c:f>'06112020'!$M$5:$M$15</c:f>
              <c:numCache>
                <c:formatCode>General</c:formatCode>
                <c:ptCount val="1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18</c:v>
                </c:pt>
                <c:pt idx="6">
                  <c:v>20</c:v>
                </c:pt>
                <c:pt idx="7">
                  <c:v>22</c:v>
                </c:pt>
                <c:pt idx="8">
                  <c:v>24</c:v>
                </c:pt>
                <c:pt idx="9">
                  <c:v>46</c:v>
                </c:pt>
                <c:pt idx="10">
                  <c:v>48</c:v>
                </c:pt>
              </c:numCache>
            </c:numRef>
          </c:xVal>
          <c:yVal>
            <c:numRef>
              <c:f>'06112020'!$R$5:$R$15</c:f>
              <c:numCache>
                <c:formatCode>General</c:formatCode>
                <c:ptCount val="11"/>
                <c:pt idx="0">
                  <c:v>0</c:v>
                </c:pt>
                <c:pt idx="1">
                  <c:v>30.869885916601103</c:v>
                </c:pt>
                <c:pt idx="2">
                  <c:v>11.331652502898304</c:v>
                </c:pt>
                <c:pt idx="3">
                  <c:v>8.903843874263174</c:v>
                </c:pt>
                <c:pt idx="4">
                  <c:v>4.8194829353479349</c:v>
                </c:pt>
                <c:pt idx="5">
                  <c:v>2.2345882966698558</c:v>
                </c:pt>
                <c:pt idx="6">
                  <c:v>-1.2156053714750001</c:v>
                </c:pt>
                <c:pt idx="7">
                  <c:v>0.79557848975456125</c:v>
                </c:pt>
                <c:pt idx="8">
                  <c:v>-1.0981425702811265</c:v>
                </c:pt>
                <c:pt idx="9">
                  <c:v>0.30593994023700655</c:v>
                </c:pt>
                <c:pt idx="10">
                  <c:v>0.13078802400221434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B74-45C4-92E2-7773FD17F73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73442944"/>
        <c:axId val="389613856"/>
      </c:scatterChart>
      <c:valAx>
        <c:axId val="27344294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time [h]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89613856"/>
        <c:crosses val="autoZero"/>
        <c:crossBetween val="midCat"/>
      </c:valAx>
      <c:valAx>
        <c:axId val="3896138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activity [mM/h]]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73442944"/>
        <c:crosses val="autoZero"/>
        <c:crossBetween val="midCat"/>
      </c:valAx>
    </c:plotArea>
    <c:plotVisOnly val="1"/>
    <c:dispBlanksAs val="gap"/>
    <c:showDLblsOverMax val="0"/>
    <c:extLst/>
  </c:chart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beads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'06112020'!$M$22:$M$32</c:f>
              <c:numCache>
                <c:formatCode>General</c:formatCode>
                <c:ptCount val="1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18</c:v>
                </c:pt>
                <c:pt idx="6">
                  <c:v>20</c:v>
                </c:pt>
                <c:pt idx="7">
                  <c:v>22</c:v>
                </c:pt>
                <c:pt idx="8">
                  <c:v>24</c:v>
                </c:pt>
                <c:pt idx="9">
                  <c:v>46</c:v>
                </c:pt>
                <c:pt idx="10">
                  <c:v>48</c:v>
                </c:pt>
              </c:numCache>
            </c:numRef>
          </c:xVal>
          <c:yVal>
            <c:numRef>
              <c:f>'06112020'!$R$22:$R$32</c:f>
              <c:numCache>
                <c:formatCode>General</c:formatCode>
                <c:ptCount val="11"/>
                <c:pt idx="0">
                  <c:v>0</c:v>
                </c:pt>
                <c:pt idx="1">
                  <c:v>4.1420189794294808</c:v>
                </c:pt>
                <c:pt idx="2">
                  <c:v>2.350115963190226</c:v>
                </c:pt>
                <c:pt idx="3">
                  <c:v>4.0836524589550969</c:v>
                </c:pt>
                <c:pt idx="4">
                  <c:v>5.1934936631700541</c:v>
                </c:pt>
                <c:pt idx="5">
                  <c:v>2.8001013438103195</c:v>
                </c:pt>
                <c:pt idx="6">
                  <c:v>7.7348420206249102E-3</c:v>
                </c:pt>
                <c:pt idx="7">
                  <c:v>-4.9594804399930581E-3</c:v>
                </c:pt>
                <c:pt idx="8">
                  <c:v>0.73320928584086786</c:v>
                </c:pt>
                <c:pt idx="9">
                  <c:v>0.16620780649755479</c:v>
                </c:pt>
                <c:pt idx="10">
                  <c:v>-0.26711693929043179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BA7D-47E7-BEB8-5F639D1AFB6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73442944"/>
        <c:axId val="389613856"/>
      </c:scatterChart>
      <c:valAx>
        <c:axId val="27344294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time [h]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89613856"/>
        <c:crosses val="autoZero"/>
        <c:crossBetween val="midCat"/>
      </c:valAx>
      <c:valAx>
        <c:axId val="3896138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activity [mM/h]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7344294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free UPO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smoothMarker"/>
        <c:varyColors val="0"/>
        <c:ser>
          <c:idx val="1"/>
          <c:order val="2"/>
          <c:tx>
            <c:v>styrene oxide</c:v>
          </c:tx>
          <c:xVal>
            <c:numRef>
              <c:f>'06112020'!$M$39:$M$49</c:f>
              <c:numCache>
                <c:formatCode>General</c:formatCode>
                <c:ptCount val="1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18</c:v>
                </c:pt>
                <c:pt idx="6">
                  <c:v>20</c:v>
                </c:pt>
                <c:pt idx="7">
                  <c:v>22</c:v>
                </c:pt>
                <c:pt idx="8">
                  <c:v>24</c:v>
                </c:pt>
                <c:pt idx="9">
                  <c:v>46</c:v>
                </c:pt>
                <c:pt idx="10">
                  <c:v>48</c:v>
                </c:pt>
              </c:numCache>
            </c:numRef>
          </c:xVal>
          <c:yVal>
            <c:numRef>
              <c:f>'06112020'!$O$39:$O$49</c:f>
              <c:numCache>
                <c:formatCode>0.00</c:formatCode>
                <c:ptCount val="11"/>
                <c:pt idx="0" formatCode="General">
                  <c:v>0</c:v>
                </c:pt>
                <c:pt idx="1">
                  <c:v>14.651967930029159</c:v>
                </c:pt>
                <c:pt idx="2">
                  <c:v>15.348084886128365</c:v>
                </c:pt>
                <c:pt idx="3">
                  <c:v>16.513667783829074</c:v>
                </c:pt>
                <c:pt idx="4">
                  <c:v>17.349172719935432</c:v>
                </c:pt>
                <c:pt idx="5">
                  <c:v>24.121614242027082</c:v>
                </c:pt>
                <c:pt idx="6">
                  <c:v>23.124188311688307</c:v>
                </c:pt>
                <c:pt idx="7">
                  <c:v>25.474624060150379</c:v>
                </c:pt>
                <c:pt idx="8">
                  <c:v>22.974257884972168</c:v>
                </c:pt>
                <c:pt idx="9">
                  <c:v>35.479651162790702</c:v>
                </c:pt>
                <c:pt idx="10">
                  <c:v>37.988445378151262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D7F3-489E-B5D4-4709E64F810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73442944"/>
        <c:axId val="389613856"/>
        <c:extLst>
          <c:ext xmlns:c15="http://schemas.microsoft.com/office/drawing/2012/chart" uri="{02D57815-91ED-43cb-92C2-25804820EDAC}">
            <c15:filteredScatterSeries>
              <c15:ser>
                <c:idx val="2"/>
                <c:order val="0"/>
                <c:xVal>
                  <c:numRef>
                    <c:extLst>
                      <c:ext uri="{02D57815-91ED-43cb-92C2-25804820EDAC}">
                        <c15:formulaRef>
                          <c15:sqref>'04112020'!$M$5:$M$15</c15:sqref>
                        </c15:formulaRef>
                      </c:ext>
                    </c:extLst>
                    <c:numCache>
                      <c:formatCode>General</c:formatCode>
                      <c:ptCount val="11"/>
                      <c:pt idx="0">
                        <c:v>0</c:v>
                      </c:pt>
                      <c:pt idx="1">
                        <c:v>1</c:v>
                      </c:pt>
                      <c:pt idx="2">
                        <c:v>2</c:v>
                      </c:pt>
                      <c:pt idx="3">
                        <c:v>3</c:v>
                      </c:pt>
                      <c:pt idx="4">
                        <c:v>4</c:v>
                      </c:pt>
                      <c:pt idx="5">
                        <c:v>5</c:v>
                      </c:pt>
                      <c:pt idx="6">
                        <c:v>6</c:v>
                      </c:pt>
                      <c:pt idx="7">
                        <c:v>18</c:v>
                      </c:pt>
                      <c:pt idx="8">
                        <c:v>20</c:v>
                      </c:pt>
                      <c:pt idx="9">
                        <c:v>22</c:v>
                      </c:pt>
                      <c:pt idx="10">
                        <c:v>24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'04112020'!$O$5:$O$15</c15:sqref>
                        </c15:formulaRef>
                      </c:ext>
                    </c:extLst>
                    <c:numCache>
                      <c:formatCode>0.00</c:formatCode>
                      <c:ptCount val="11"/>
                      <c:pt idx="0" formatCode="General">
                        <c:v>0</c:v>
                      </c:pt>
                      <c:pt idx="1">
                        <c:v>7.5035944329422595</c:v>
                      </c:pt>
                      <c:pt idx="2">
                        <c:v>15.04866833004526</c:v>
                      </c:pt>
                      <c:pt idx="3">
                        <c:v>27.447562358276645</c:v>
                      </c:pt>
                      <c:pt idx="4">
                        <c:v>33.414765544190324</c:v>
                      </c:pt>
                      <c:pt idx="5">
                        <c:v>41.229577896732465</c:v>
                      </c:pt>
                      <c:pt idx="6">
                        <c:v>49.080537181265342</c:v>
                      </c:pt>
                      <c:pt idx="7">
                        <c:v>109.86397411313519</c:v>
                      </c:pt>
                      <c:pt idx="8">
                        <c:v>109.93055555555556</c:v>
                      </c:pt>
                      <c:pt idx="9">
                        <c:v>110.88184931506849</c:v>
                      </c:pt>
                      <c:pt idx="10">
                        <c:v>113.3538732394366</c:v>
                      </c:pt>
                    </c:numCache>
                  </c:numRef>
                </c:yVal>
                <c:smooth val="1"/>
                <c:extLst>
                  <c:ext xmlns:c16="http://schemas.microsoft.com/office/drawing/2014/chart" uri="{C3380CC4-5D6E-409C-BE32-E72D297353CC}">
                    <c16:uniqueId val="{00000002-D7F3-489E-B5D4-4709E64F810E}"/>
                  </c:ext>
                </c:extLst>
              </c15:ser>
            </c15:filteredScatterSeries>
            <c15:filteredScatterSeries>
              <c15:ser>
                <c:idx val="3"/>
                <c:order val="1"/>
                <c:spPr>
                  <a:ln>
                    <a:solidFill>
                      <a:schemeClr val="accent2"/>
                    </a:solidFill>
                  </a:ln>
                </c:spP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'04112020'!$M$5:$M$15</c15:sqref>
                        </c15:formulaRef>
                      </c:ext>
                    </c:extLst>
                    <c:numCache>
                      <c:formatCode>General</c:formatCode>
                      <c:ptCount val="11"/>
                      <c:pt idx="0">
                        <c:v>0</c:v>
                      </c:pt>
                      <c:pt idx="1">
                        <c:v>1</c:v>
                      </c:pt>
                      <c:pt idx="2">
                        <c:v>2</c:v>
                      </c:pt>
                      <c:pt idx="3">
                        <c:v>3</c:v>
                      </c:pt>
                      <c:pt idx="4">
                        <c:v>4</c:v>
                      </c:pt>
                      <c:pt idx="5">
                        <c:v>5</c:v>
                      </c:pt>
                      <c:pt idx="6">
                        <c:v>6</c:v>
                      </c:pt>
                      <c:pt idx="7">
                        <c:v>18</c:v>
                      </c:pt>
                      <c:pt idx="8">
                        <c:v>20</c:v>
                      </c:pt>
                      <c:pt idx="9">
                        <c:v>22</c:v>
                      </c:pt>
                      <c:pt idx="10">
                        <c:v>24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'04112020'!$O$5:$O$15</c15:sqref>
                        </c15:formulaRef>
                      </c:ext>
                    </c:extLst>
                    <c:numCache>
                      <c:formatCode>0.00</c:formatCode>
                      <c:ptCount val="11"/>
                      <c:pt idx="0" formatCode="General">
                        <c:v>0</c:v>
                      </c:pt>
                      <c:pt idx="1">
                        <c:v>7.5035944329422595</c:v>
                      </c:pt>
                      <c:pt idx="2">
                        <c:v>15.04866833004526</c:v>
                      </c:pt>
                      <c:pt idx="3">
                        <c:v>27.447562358276645</c:v>
                      </c:pt>
                      <c:pt idx="4">
                        <c:v>33.414765544190324</c:v>
                      </c:pt>
                      <c:pt idx="5">
                        <c:v>41.229577896732465</c:v>
                      </c:pt>
                      <c:pt idx="6">
                        <c:v>49.080537181265342</c:v>
                      </c:pt>
                      <c:pt idx="7">
                        <c:v>109.86397411313519</c:v>
                      </c:pt>
                      <c:pt idx="8">
                        <c:v>109.93055555555556</c:v>
                      </c:pt>
                      <c:pt idx="9">
                        <c:v>110.88184931506849</c:v>
                      </c:pt>
                      <c:pt idx="10">
                        <c:v>113.3538732394366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D7F3-489E-B5D4-4709E64F810E}"/>
                  </c:ext>
                </c:extLst>
              </c15:ser>
            </c15:filteredScatterSeries>
            <c15:filteredScatterSeries>
              <c15:ser>
                <c:idx val="0"/>
                <c:order val="3"/>
                <c:tx>
                  <c:v>tBuOOH</c:v>
                </c:tx>
                <c:spPr>
                  <a:ln>
                    <a:solidFill>
                      <a:schemeClr val="bg1">
                        <a:lumMod val="85000"/>
                        <a:alpha val="99000"/>
                      </a:schemeClr>
                    </a:solidFill>
                  </a:ln>
                </c:spPr>
                <c:marker>
                  <c:symbol val="circle"/>
                  <c:size val="5"/>
                  <c:spPr>
                    <a:solidFill>
                      <a:schemeClr val="bg1">
                        <a:lumMod val="85000"/>
                      </a:schemeClr>
                    </a:solidFill>
                    <a:ln w="9525">
                      <a:solidFill>
                        <a:schemeClr val="bg1">
                          <a:lumMod val="85000"/>
                        </a:schemeClr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'04112020'!$M$5:$M$16</c15:sqref>
                        </c15:formulaRef>
                      </c:ext>
                    </c:extLst>
                    <c:numCache>
                      <c:formatCode>General</c:formatCode>
                      <c:ptCount val="12"/>
                      <c:pt idx="0">
                        <c:v>0</c:v>
                      </c:pt>
                      <c:pt idx="1">
                        <c:v>1</c:v>
                      </c:pt>
                      <c:pt idx="2">
                        <c:v>2</c:v>
                      </c:pt>
                      <c:pt idx="3">
                        <c:v>3</c:v>
                      </c:pt>
                      <c:pt idx="4">
                        <c:v>4</c:v>
                      </c:pt>
                      <c:pt idx="5">
                        <c:v>5</c:v>
                      </c:pt>
                      <c:pt idx="6">
                        <c:v>6</c:v>
                      </c:pt>
                      <c:pt idx="7">
                        <c:v>18</c:v>
                      </c:pt>
                      <c:pt idx="8">
                        <c:v>20</c:v>
                      </c:pt>
                      <c:pt idx="9">
                        <c:v>22</c:v>
                      </c:pt>
                      <c:pt idx="10">
                        <c:v>24</c:v>
                      </c:pt>
                      <c:pt idx="11">
                        <c:v>44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'04112020'!$N$5:$N$16</c15:sqref>
                        </c15:formulaRef>
                      </c:ext>
                    </c:extLst>
                    <c:numCache>
                      <c:formatCode>General</c:formatCode>
                      <c:ptCount val="12"/>
                      <c:pt idx="0">
                        <c:v>1</c:v>
                      </c:pt>
                      <c:pt idx="1">
                        <c:v>9.56</c:v>
                      </c:pt>
                      <c:pt idx="2">
                        <c:v>18.12</c:v>
                      </c:pt>
                      <c:pt idx="3">
                        <c:v>26.68</c:v>
                      </c:pt>
                      <c:pt idx="4">
                        <c:v>35.24</c:v>
                      </c:pt>
                      <c:pt idx="5">
                        <c:v>43.800000000000004</c:v>
                      </c:pt>
                      <c:pt idx="6">
                        <c:v>52.36</c:v>
                      </c:pt>
                      <c:pt idx="7">
                        <c:v>155.08000000000001</c:v>
                      </c:pt>
                      <c:pt idx="8">
                        <c:v>172.20000000000002</c:v>
                      </c:pt>
                      <c:pt idx="9">
                        <c:v>189.32000000000002</c:v>
                      </c:pt>
                      <c:pt idx="10">
                        <c:v>206.44</c:v>
                      </c:pt>
                      <c:pt idx="11">
                        <c:v>377.64000000000004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1-D7F3-489E-B5D4-4709E64F810E}"/>
                  </c:ext>
                </c:extLst>
              </c15:ser>
            </c15:filteredScatterSeries>
          </c:ext>
        </c:extLst>
      </c:scatterChart>
      <c:valAx>
        <c:axId val="27344294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time [h]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89613856"/>
        <c:crosses val="autoZero"/>
        <c:crossBetween val="midCat"/>
      </c:valAx>
      <c:valAx>
        <c:axId val="3896138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baseline="0"/>
                  <a:t>concentration [mM]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73442944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  <c:extLst/>
  </c:chart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beads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smoothMarker"/>
        <c:varyColors val="0"/>
        <c:ser>
          <c:idx val="4"/>
          <c:order val="0"/>
          <c:tx>
            <c:v>styrene oxide</c:v>
          </c:tx>
          <c:xVal>
            <c:numRef>
              <c:f>'06112020'!$M$56:$M$66</c:f>
              <c:numCache>
                <c:formatCode>General</c:formatCode>
                <c:ptCount val="1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18</c:v>
                </c:pt>
                <c:pt idx="6">
                  <c:v>20</c:v>
                </c:pt>
                <c:pt idx="7">
                  <c:v>22</c:v>
                </c:pt>
                <c:pt idx="8">
                  <c:v>24</c:v>
                </c:pt>
                <c:pt idx="9">
                  <c:v>46</c:v>
                </c:pt>
                <c:pt idx="10">
                  <c:v>48</c:v>
                </c:pt>
              </c:numCache>
            </c:numRef>
          </c:xVal>
          <c:yVal>
            <c:numRef>
              <c:f>'06112020'!$O$56:$O$66</c:f>
              <c:numCache>
                <c:formatCode>0.00</c:formatCode>
                <c:ptCount val="11"/>
                <c:pt idx="0" formatCode="General">
                  <c:v>0</c:v>
                </c:pt>
                <c:pt idx="1">
                  <c:v>13.076721731037692</c:v>
                </c:pt>
                <c:pt idx="2">
                  <c:v>12.857142857142859</c:v>
                </c:pt>
                <c:pt idx="3">
                  <c:v>13.378215434083602</c:v>
                </c:pt>
                <c:pt idx="4">
                  <c:v>13.967145015105739</c:v>
                </c:pt>
                <c:pt idx="5">
                  <c:v>20.228112404836544</c:v>
                </c:pt>
                <c:pt idx="6">
                  <c:v>19.884557344064387</c:v>
                </c:pt>
                <c:pt idx="7">
                  <c:v>20.208333333333332</c:v>
                </c:pt>
                <c:pt idx="8">
                  <c:v>21.147151898734176</c:v>
                </c:pt>
                <c:pt idx="9">
                  <c:v>27.946428571428573</c:v>
                </c:pt>
                <c:pt idx="10">
                  <c:v>32.157392026578073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5751-43A8-BE36-FF95BF653E3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73442944"/>
        <c:axId val="389613856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1"/>
                <c:tx>
                  <c:v>tBuOOH</c:v>
                </c:tx>
                <c:spPr>
                  <a:ln>
                    <a:solidFill>
                      <a:schemeClr val="bg1">
                        <a:lumMod val="85000"/>
                        <a:alpha val="99000"/>
                      </a:schemeClr>
                    </a:solidFill>
                  </a:ln>
                </c:spPr>
                <c:marker>
                  <c:symbol val="circle"/>
                  <c:size val="5"/>
                  <c:spPr>
                    <a:solidFill>
                      <a:schemeClr val="bg1">
                        <a:lumMod val="85000"/>
                      </a:schemeClr>
                    </a:solidFill>
                    <a:ln w="9525">
                      <a:solidFill>
                        <a:schemeClr val="bg1">
                          <a:lumMod val="85000"/>
                        </a:schemeClr>
                      </a:solidFill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'04112020'!$M$22:$M$33</c15:sqref>
                        </c15:formulaRef>
                      </c:ext>
                    </c:extLst>
                    <c:numCache>
                      <c:formatCode>General</c:formatCode>
                      <c:ptCount val="12"/>
                      <c:pt idx="0">
                        <c:v>0</c:v>
                      </c:pt>
                      <c:pt idx="1">
                        <c:v>1</c:v>
                      </c:pt>
                      <c:pt idx="2">
                        <c:v>2</c:v>
                      </c:pt>
                      <c:pt idx="3">
                        <c:v>3</c:v>
                      </c:pt>
                      <c:pt idx="4">
                        <c:v>4</c:v>
                      </c:pt>
                      <c:pt idx="5">
                        <c:v>5</c:v>
                      </c:pt>
                      <c:pt idx="6">
                        <c:v>6</c:v>
                      </c:pt>
                      <c:pt idx="7">
                        <c:v>18</c:v>
                      </c:pt>
                      <c:pt idx="8">
                        <c:v>20</c:v>
                      </c:pt>
                      <c:pt idx="9">
                        <c:v>22</c:v>
                      </c:pt>
                      <c:pt idx="10">
                        <c:v>24</c:v>
                      </c:pt>
                      <c:pt idx="11">
                        <c:v>44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'04112020'!$N$22:$N$33</c15:sqref>
                        </c15:formulaRef>
                      </c:ext>
                    </c:extLst>
                    <c:numCache>
                      <c:formatCode>General</c:formatCode>
                      <c:ptCount val="12"/>
                      <c:pt idx="0">
                        <c:v>1</c:v>
                      </c:pt>
                      <c:pt idx="1">
                        <c:v>9.56</c:v>
                      </c:pt>
                      <c:pt idx="2">
                        <c:v>18.12</c:v>
                      </c:pt>
                      <c:pt idx="3">
                        <c:v>26.68</c:v>
                      </c:pt>
                      <c:pt idx="4">
                        <c:v>35.24</c:v>
                      </c:pt>
                      <c:pt idx="5">
                        <c:v>43.800000000000004</c:v>
                      </c:pt>
                      <c:pt idx="6">
                        <c:v>52.36</c:v>
                      </c:pt>
                      <c:pt idx="7">
                        <c:v>155.08000000000001</c:v>
                      </c:pt>
                      <c:pt idx="8">
                        <c:v>172.20000000000002</c:v>
                      </c:pt>
                      <c:pt idx="9">
                        <c:v>189.32000000000002</c:v>
                      </c:pt>
                      <c:pt idx="10">
                        <c:v>206.44</c:v>
                      </c:pt>
                      <c:pt idx="11">
                        <c:v>377.64000000000004</c:v>
                      </c:pt>
                    </c:numCache>
                  </c:numRef>
                </c:yVal>
                <c:smooth val="1"/>
                <c:extLst>
                  <c:ext xmlns:c16="http://schemas.microsoft.com/office/drawing/2014/chart" uri="{C3380CC4-5D6E-409C-BE32-E72D297353CC}">
                    <c16:uniqueId val="{00000001-5751-43A8-BE36-FF95BF653E33}"/>
                  </c:ext>
                </c:extLst>
              </c15:ser>
            </c15:filteredScatterSeries>
          </c:ext>
        </c:extLst>
      </c:scatterChart>
      <c:valAx>
        <c:axId val="27344294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time [h]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89613856"/>
        <c:crosses val="autoZero"/>
        <c:crossBetween val="midCat"/>
      </c:valAx>
      <c:valAx>
        <c:axId val="3896138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baseline="0"/>
                  <a:t>concentration [mM]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73442944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  <c:extLst/>
  </c:chart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free UPO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smoothMarker"/>
        <c:varyColors val="0"/>
        <c:ser>
          <c:idx val="1"/>
          <c:order val="2"/>
          <c:tx>
            <c:v>styrene oxide</c:v>
          </c:tx>
          <c:xVal>
            <c:numRef>
              <c:f>'06112020'!$M$74:$M$84</c:f>
              <c:numCache>
                <c:formatCode>General</c:formatCode>
                <c:ptCount val="1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18</c:v>
                </c:pt>
                <c:pt idx="6">
                  <c:v>20</c:v>
                </c:pt>
                <c:pt idx="7">
                  <c:v>22</c:v>
                </c:pt>
                <c:pt idx="8">
                  <c:v>24</c:v>
                </c:pt>
                <c:pt idx="9">
                  <c:v>46</c:v>
                </c:pt>
                <c:pt idx="10">
                  <c:v>48</c:v>
                </c:pt>
              </c:numCache>
            </c:numRef>
          </c:xVal>
          <c:yVal>
            <c:numRef>
              <c:f>'06112020'!$O$74:$O$84</c:f>
              <c:numCache>
                <c:formatCode>0.00</c:formatCode>
                <c:ptCount val="11"/>
                <c:pt idx="0" formatCode="General">
                  <c:v>0</c:v>
                </c:pt>
                <c:pt idx="1">
                  <c:v>47.446488950609826</c:v>
                </c:pt>
                <c:pt idx="2">
                  <c:v>56.301616057050836</c:v>
                </c:pt>
                <c:pt idx="3">
                  <c:v>59.929228380315337</c:v>
                </c:pt>
                <c:pt idx="4">
                  <c:v>61.889941989921482</c:v>
                </c:pt>
                <c:pt idx="5">
                  <c:v>68.403475711892796</c:v>
                </c:pt>
                <c:pt idx="6">
                  <c:v>65.980765227400752</c:v>
                </c:pt>
                <c:pt idx="7">
                  <c:v>66.074507389162562</c:v>
                </c:pt>
                <c:pt idx="8">
                  <c:v>66.850538160469668</c:v>
                </c:pt>
                <c:pt idx="9">
                  <c:v>76.696428571428569</c:v>
                </c:pt>
                <c:pt idx="10">
                  <c:v>75.838471382038165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6A6B-47E8-BBA5-B8C4A4AC5ED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73442944"/>
        <c:axId val="389613856"/>
        <c:extLst>
          <c:ext xmlns:c15="http://schemas.microsoft.com/office/drawing/2012/chart" uri="{02D57815-91ED-43cb-92C2-25804820EDAC}">
            <c15:filteredScatterSeries>
              <c15:ser>
                <c:idx val="2"/>
                <c:order val="0"/>
                <c:xVal>
                  <c:numRef>
                    <c:extLst>
                      <c:ext uri="{02D57815-91ED-43cb-92C2-25804820EDAC}">
                        <c15:formulaRef>
                          <c15:sqref>'04112020'!$M$5:$M$15</c15:sqref>
                        </c15:formulaRef>
                      </c:ext>
                    </c:extLst>
                    <c:numCache>
                      <c:formatCode>General</c:formatCode>
                      <c:ptCount val="11"/>
                      <c:pt idx="0">
                        <c:v>0</c:v>
                      </c:pt>
                      <c:pt idx="1">
                        <c:v>1</c:v>
                      </c:pt>
                      <c:pt idx="2">
                        <c:v>2</c:v>
                      </c:pt>
                      <c:pt idx="3">
                        <c:v>3</c:v>
                      </c:pt>
                      <c:pt idx="4">
                        <c:v>4</c:v>
                      </c:pt>
                      <c:pt idx="5">
                        <c:v>5</c:v>
                      </c:pt>
                      <c:pt idx="6">
                        <c:v>6</c:v>
                      </c:pt>
                      <c:pt idx="7">
                        <c:v>18</c:v>
                      </c:pt>
                      <c:pt idx="8">
                        <c:v>20</c:v>
                      </c:pt>
                      <c:pt idx="9">
                        <c:v>22</c:v>
                      </c:pt>
                      <c:pt idx="10">
                        <c:v>24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'04112020'!$O$5:$O$15</c15:sqref>
                        </c15:formulaRef>
                      </c:ext>
                    </c:extLst>
                    <c:numCache>
                      <c:formatCode>0.00</c:formatCode>
                      <c:ptCount val="11"/>
                      <c:pt idx="0" formatCode="General">
                        <c:v>0</c:v>
                      </c:pt>
                      <c:pt idx="1">
                        <c:v>7.5035944329422595</c:v>
                      </c:pt>
                      <c:pt idx="2">
                        <c:v>15.04866833004526</c:v>
                      </c:pt>
                      <c:pt idx="3">
                        <c:v>27.447562358276645</c:v>
                      </c:pt>
                      <c:pt idx="4">
                        <c:v>33.414765544190324</c:v>
                      </c:pt>
                      <c:pt idx="5">
                        <c:v>41.229577896732465</c:v>
                      </c:pt>
                      <c:pt idx="6">
                        <c:v>49.080537181265342</c:v>
                      </c:pt>
                      <c:pt idx="7">
                        <c:v>109.86397411313519</c:v>
                      </c:pt>
                      <c:pt idx="8">
                        <c:v>109.93055555555556</c:v>
                      </c:pt>
                      <c:pt idx="9">
                        <c:v>110.88184931506849</c:v>
                      </c:pt>
                      <c:pt idx="10">
                        <c:v>113.3538732394366</c:v>
                      </c:pt>
                    </c:numCache>
                  </c:numRef>
                </c:yVal>
                <c:smooth val="1"/>
                <c:extLst>
                  <c:ext xmlns:c16="http://schemas.microsoft.com/office/drawing/2014/chart" uri="{C3380CC4-5D6E-409C-BE32-E72D297353CC}">
                    <c16:uniqueId val="{00000001-6A6B-47E8-BBA5-B8C4A4AC5ED8}"/>
                  </c:ext>
                </c:extLst>
              </c15:ser>
            </c15:filteredScatterSeries>
            <c15:filteredScatterSeries>
              <c15:ser>
                <c:idx val="3"/>
                <c:order val="1"/>
                <c:spPr>
                  <a:ln>
                    <a:solidFill>
                      <a:schemeClr val="accent2"/>
                    </a:solidFill>
                  </a:ln>
                </c:spP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'04112020'!$M$5:$M$15</c15:sqref>
                        </c15:formulaRef>
                      </c:ext>
                    </c:extLst>
                    <c:numCache>
                      <c:formatCode>General</c:formatCode>
                      <c:ptCount val="11"/>
                      <c:pt idx="0">
                        <c:v>0</c:v>
                      </c:pt>
                      <c:pt idx="1">
                        <c:v>1</c:v>
                      </c:pt>
                      <c:pt idx="2">
                        <c:v>2</c:v>
                      </c:pt>
                      <c:pt idx="3">
                        <c:v>3</c:v>
                      </c:pt>
                      <c:pt idx="4">
                        <c:v>4</c:v>
                      </c:pt>
                      <c:pt idx="5">
                        <c:v>5</c:v>
                      </c:pt>
                      <c:pt idx="6">
                        <c:v>6</c:v>
                      </c:pt>
                      <c:pt idx="7">
                        <c:v>18</c:v>
                      </c:pt>
                      <c:pt idx="8">
                        <c:v>20</c:v>
                      </c:pt>
                      <c:pt idx="9">
                        <c:v>22</c:v>
                      </c:pt>
                      <c:pt idx="10">
                        <c:v>24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'04112020'!$O$5:$O$15</c15:sqref>
                        </c15:formulaRef>
                      </c:ext>
                    </c:extLst>
                    <c:numCache>
                      <c:formatCode>0.00</c:formatCode>
                      <c:ptCount val="11"/>
                      <c:pt idx="0" formatCode="General">
                        <c:v>0</c:v>
                      </c:pt>
                      <c:pt idx="1">
                        <c:v>7.5035944329422595</c:v>
                      </c:pt>
                      <c:pt idx="2">
                        <c:v>15.04866833004526</c:v>
                      </c:pt>
                      <c:pt idx="3">
                        <c:v>27.447562358276645</c:v>
                      </c:pt>
                      <c:pt idx="4">
                        <c:v>33.414765544190324</c:v>
                      </c:pt>
                      <c:pt idx="5">
                        <c:v>41.229577896732465</c:v>
                      </c:pt>
                      <c:pt idx="6">
                        <c:v>49.080537181265342</c:v>
                      </c:pt>
                      <c:pt idx="7">
                        <c:v>109.86397411313519</c:v>
                      </c:pt>
                      <c:pt idx="8">
                        <c:v>109.93055555555556</c:v>
                      </c:pt>
                      <c:pt idx="9">
                        <c:v>110.88184931506849</c:v>
                      </c:pt>
                      <c:pt idx="10">
                        <c:v>113.3538732394366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6A6B-47E8-BBA5-B8C4A4AC5ED8}"/>
                  </c:ext>
                </c:extLst>
              </c15:ser>
            </c15:filteredScatterSeries>
            <c15:filteredScatterSeries>
              <c15:ser>
                <c:idx val="0"/>
                <c:order val="3"/>
                <c:tx>
                  <c:v>tBuOOH</c:v>
                </c:tx>
                <c:spPr>
                  <a:ln>
                    <a:solidFill>
                      <a:schemeClr val="bg1">
                        <a:lumMod val="85000"/>
                        <a:alpha val="99000"/>
                      </a:schemeClr>
                    </a:solidFill>
                  </a:ln>
                </c:spPr>
                <c:marker>
                  <c:symbol val="circle"/>
                  <c:size val="5"/>
                  <c:spPr>
                    <a:solidFill>
                      <a:schemeClr val="bg1">
                        <a:lumMod val="85000"/>
                      </a:schemeClr>
                    </a:solidFill>
                    <a:ln w="9525">
                      <a:solidFill>
                        <a:schemeClr val="bg1">
                          <a:lumMod val="85000"/>
                        </a:schemeClr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'04112020'!$M$5:$M$16</c15:sqref>
                        </c15:formulaRef>
                      </c:ext>
                    </c:extLst>
                    <c:numCache>
                      <c:formatCode>General</c:formatCode>
                      <c:ptCount val="12"/>
                      <c:pt idx="0">
                        <c:v>0</c:v>
                      </c:pt>
                      <c:pt idx="1">
                        <c:v>1</c:v>
                      </c:pt>
                      <c:pt idx="2">
                        <c:v>2</c:v>
                      </c:pt>
                      <c:pt idx="3">
                        <c:v>3</c:v>
                      </c:pt>
                      <c:pt idx="4">
                        <c:v>4</c:v>
                      </c:pt>
                      <c:pt idx="5">
                        <c:v>5</c:v>
                      </c:pt>
                      <c:pt idx="6">
                        <c:v>6</c:v>
                      </c:pt>
                      <c:pt idx="7">
                        <c:v>18</c:v>
                      </c:pt>
                      <c:pt idx="8">
                        <c:v>20</c:v>
                      </c:pt>
                      <c:pt idx="9">
                        <c:v>22</c:v>
                      </c:pt>
                      <c:pt idx="10">
                        <c:v>24</c:v>
                      </c:pt>
                      <c:pt idx="11">
                        <c:v>44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'04112020'!$N$5:$N$16</c15:sqref>
                        </c15:formulaRef>
                      </c:ext>
                    </c:extLst>
                    <c:numCache>
                      <c:formatCode>General</c:formatCode>
                      <c:ptCount val="12"/>
                      <c:pt idx="0">
                        <c:v>1</c:v>
                      </c:pt>
                      <c:pt idx="1">
                        <c:v>9.56</c:v>
                      </c:pt>
                      <c:pt idx="2">
                        <c:v>18.12</c:v>
                      </c:pt>
                      <c:pt idx="3">
                        <c:v>26.68</c:v>
                      </c:pt>
                      <c:pt idx="4">
                        <c:v>35.24</c:v>
                      </c:pt>
                      <c:pt idx="5">
                        <c:v>43.800000000000004</c:v>
                      </c:pt>
                      <c:pt idx="6">
                        <c:v>52.36</c:v>
                      </c:pt>
                      <c:pt idx="7">
                        <c:v>155.08000000000001</c:v>
                      </c:pt>
                      <c:pt idx="8">
                        <c:v>172.20000000000002</c:v>
                      </c:pt>
                      <c:pt idx="9">
                        <c:v>189.32000000000002</c:v>
                      </c:pt>
                      <c:pt idx="10">
                        <c:v>206.44</c:v>
                      </c:pt>
                      <c:pt idx="11">
                        <c:v>377.64000000000004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6A6B-47E8-BBA5-B8C4A4AC5ED8}"/>
                  </c:ext>
                </c:extLst>
              </c15:ser>
            </c15:filteredScatterSeries>
          </c:ext>
        </c:extLst>
      </c:scatterChart>
      <c:valAx>
        <c:axId val="27344294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time [h]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89613856"/>
        <c:crosses val="autoZero"/>
        <c:crossBetween val="midCat"/>
      </c:valAx>
      <c:valAx>
        <c:axId val="3896138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baseline="0"/>
                  <a:t>concentration [mM]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73442944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  <c:extLst/>
  </c:chart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beads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smoothMarker"/>
        <c:varyColors val="0"/>
        <c:ser>
          <c:idx val="4"/>
          <c:order val="0"/>
          <c:tx>
            <c:v>styrene oxide</c:v>
          </c:tx>
          <c:xVal>
            <c:numRef>
              <c:f>'06112020'!$M$91:$M$101</c:f>
              <c:numCache>
                <c:formatCode>General</c:formatCode>
                <c:ptCount val="1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18</c:v>
                </c:pt>
                <c:pt idx="6">
                  <c:v>20</c:v>
                </c:pt>
                <c:pt idx="7">
                  <c:v>22</c:v>
                </c:pt>
                <c:pt idx="8">
                  <c:v>24</c:v>
                </c:pt>
                <c:pt idx="9">
                  <c:v>46</c:v>
                </c:pt>
                <c:pt idx="10">
                  <c:v>48</c:v>
                </c:pt>
              </c:numCache>
            </c:numRef>
          </c:xVal>
          <c:yVal>
            <c:numRef>
              <c:f>'06112020'!$O$92:$O$101</c:f>
              <c:numCache>
                <c:formatCode>0.00</c:formatCode>
                <c:ptCount val="10"/>
                <c:pt idx="0">
                  <c:v>27.873831056970598</c:v>
                </c:pt>
                <c:pt idx="1">
                  <c:v>31.852886829031867</c:v>
                </c:pt>
                <c:pt idx="2">
                  <c:v>33.257121323981792</c:v>
                </c:pt>
                <c:pt idx="3">
                  <c:v>33.506175468483818</c:v>
                </c:pt>
                <c:pt idx="4">
                  <c:v>37.252718988830097</c:v>
                </c:pt>
                <c:pt idx="5">
                  <c:v>35.677866683489526</c:v>
                </c:pt>
                <c:pt idx="6">
                  <c:v>36.915946314831665</c:v>
                </c:pt>
                <c:pt idx="7">
                  <c:v>25.377621231979028</c:v>
                </c:pt>
                <c:pt idx="8">
                  <c:v>38.925561797752813</c:v>
                </c:pt>
                <c:pt idx="9">
                  <c:v>40.262096774193544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1B71-4667-A143-EF16C675125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73442944"/>
        <c:axId val="389613856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1"/>
                <c:tx>
                  <c:v>tBuOOH</c:v>
                </c:tx>
                <c:spPr>
                  <a:ln>
                    <a:solidFill>
                      <a:schemeClr val="bg1">
                        <a:lumMod val="85000"/>
                        <a:alpha val="99000"/>
                      </a:schemeClr>
                    </a:solidFill>
                  </a:ln>
                </c:spPr>
                <c:marker>
                  <c:symbol val="circle"/>
                  <c:size val="5"/>
                  <c:spPr>
                    <a:solidFill>
                      <a:schemeClr val="bg1">
                        <a:lumMod val="85000"/>
                      </a:schemeClr>
                    </a:solidFill>
                    <a:ln w="9525">
                      <a:solidFill>
                        <a:schemeClr val="bg1">
                          <a:lumMod val="85000"/>
                        </a:schemeClr>
                      </a:solidFill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'04112020'!$M$22:$M$33</c15:sqref>
                        </c15:formulaRef>
                      </c:ext>
                    </c:extLst>
                    <c:numCache>
                      <c:formatCode>General</c:formatCode>
                      <c:ptCount val="12"/>
                      <c:pt idx="0">
                        <c:v>0</c:v>
                      </c:pt>
                      <c:pt idx="1">
                        <c:v>1</c:v>
                      </c:pt>
                      <c:pt idx="2">
                        <c:v>2</c:v>
                      </c:pt>
                      <c:pt idx="3">
                        <c:v>3</c:v>
                      </c:pt>
                      <c:pt idx="4">
                        <c:v>4</c:v>
                      </c:pt>
                      <c:pt idx="5">
                        <c:v>5</c:v>
                      </c:pt>
                      <c:pt idx="6">
                        <c:v>6</c:v>
                      </c:pt>
                      <c:pt idx="7">
                        <c:v>18</c:v>
                      </c:pt>
                      <c:pt idx="8">
                        <c:v>20</c:v>
                      </c:pt>
                      <c:pt idx="9">
                        <c:v>22</c:v>
                      </c:pt>
                      <c:pt idx="10">
                        <c:v>24</c:v>
                      </c:pt>
                      <c:pt idx="11">
                        <c:v>44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'04112020'!$N$22:$N$33</c15:sqref>
                        </c15:formulaRef>
                      </c:ext>
                    </c:extLst>
                    <c:numCache>
                      <c:formatCode>General</c:formatCode>
                      <c:ptCount val="12"/>
                      <c:pt idx="0">
                        <c:v>1</c:v>
                      </c:pt>
                      <c:pt idx="1">
                        <c:v>9.56</c:v>
                      </c:pt>
                      <c:pt idx="2">
                        <c:v>18.12</c:v>
                      </c:pt>
                      <c:pt idx="3">
                        <c:v>26.68</c:v>
                      </c:pt>
                      <c:pt idx="4">
                        <c:v>35.24</c:v>
                      </c:pt>
                      <c:pt idx="5">
                        <c:v>43.800000000000004</c:v>
                      </c:pt>
                      <c:pt idx="6">
                        <c:v>52.36</c:v>
                      </c:pt>
                      <c:pt idx="7">
                        <c:v>155.08000000000001</c:v>
                      </c:pt>
                      <c:pt idx="8">
                        <c:v>172.20000000000002</c:v>
                      </c:pt>
                      <c:pt idx="9">
                        <c:v>189.32000000000002</c:v>
                      </c:pt>
                      <c:pt idx="10">
                        <c:v>206.44</c:v>
                      </c:pt>
                      <c:pt idx="11">
                        <c:v>377.64000000000004</c:v>
                      </c:pt>
                    </c:numCache>
                  </c:numRef>
                </c:yVal>
                <c:smooth val="1"/>
                <c:extLst>
                  <c:ext xmlns:c16="http://schemas.microsoft.com/office/drawing/2014/chart" uri="{C3380CC4-5D6E-409C-BE32-E72D297353CC}">
                    <c16:uniqueId val="{00000001-1B71-4667-A143-EF16C6751252}"/>
                  </c:ext>
                </c:extLst>
              </c15:ser>
            </c15:filteredScatterSeries>
          </c:ext>
        </c:extLst>
      </c:scatterChart>
      <c:valAx>
        <c:axId val="27344294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time [h]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89613856"/>
        <c:crosses val="autoZero"/>
        <c:crossBetween val="midCat"/>
      </c:valAx>
      <c:valAx>
        <c:axId val="3896138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baseline="0"/>
                  <a:t>concentration [mM]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73442944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  <c:extLst/>
  </c:chart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free UPO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12987904394067162"/>
          <c:y val="0.1680320251932281"/>
          <c:w val="0.81678086170525377"/>
          <c:h val="0.63080384390786126"/>
        </c:manualLayout>
      </c:layout>
      <c:scatterChart>
        <c:scatterStyle val="smoothMarker"/>
        <c:varyColors val="0"/>
        <c:ser>
          <c:idx val="1"/>
          <c:order val="2"/>
          <c:tx>
            <c:v>styrene oxide</c:v>
          </c:tx>
          <c:xVal>
            <c:numRef>
              <c:f>'long term TTN'!$I$5:$I$15</c:f>
              <c:numCache>
                <c:formatCode>General</c:formatCode>
                <c:ptCount val="1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18</c:v>
                </c:pt>
                <c:pt idx="6">
                  <c:v>20</c:v>
                </c:pt>
                <c:pt idx="7">
                  <c:v>22</c:v>
                </c:pt>
                <c:pt idx="8">
                  <c:v>24</c:v>
                </c:pt>
                <c:pt idx="9">
                  <c:v>46</c:v>
                </c:pt>
                <c:pt idx="10">
                  <c:v>48</c:v>
                </c:pt>
              </c:numCache>
            </c:numRef>
          </c:xVal>
          <c:yVal>
            <c:numRef>
              <c:f>'long term TTN'!$O$5:$O$15</c:f>
              <c:numCache>
                <c:formatCode>General</c:formatCode>
                <c:ptCount val="11"/>
                <c:pt idx="0">
                  <c:v>0</c:v>
                </c:pt>
                <c:pt idx="1">
                  <c:v>19.186740174771682</c:v>
                </c:pt>
                <c:pt idx="2">
                  <c:v>28.625103374772333</c:v>
                </c:pt>
                <c:pt idx="3">
                  <c:v>39.276472326019615</c:v>
                </c:pt>
                <c:pt idx="4">
                  <c:v>44.66981538665042</c:v>
                </c:pt>
                <c:pt idx="5">
                  <c:v>98.536537747811849</c:v>
                </c:pt>
                <c:pt idx="6">
                  <c:v>97.35422309754702</c:v>
                </c:pt>
                <c:pt idx="7">
                  <c:v>98.62544846705805</c:v>
                </c:pt>
                <c:pt idx="8">
                  <c:v>98.763317858960988</c:v>
                </c:pt>
                <c:pt idx="9">
                  <c:v>105.990963340809</c:v>
                </c:pt>
                <c:pt idx="10">
                  <c:v>105.33456504067081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A142-4B08-81D1-CF732FCCD5FD}"/>
            </c:ext>
          </c:extLst>
        </c:ser>
        <c:ser>
          <c:idx val="0"/>
          <c:order val="3"/>
          <c:tx>
            <c:v>tBuOOH</c:v>
          </c:tx>
          <c:spPr>
            <a:ln>
              <a:solidFill>
                <a:schemeClr val="bg1">
                  <a:lumMod val="85000"/>
                  <a:alpha val="99000"/>
                </a:schemeClr>
              </a:solidFill>
            </a:ln>
          </c:spPr>
          <c:marker>
            <c:symbol val="circle"/>
            <c:size val="5"/>
            <c:spPr>
              <a:solidFill>
                <a:schemeClr val="bg1">
                  <a:lumMod val="85000"/>
                </a:schemeClr>
              </a:solidFill>
              <a:ln w="9525">
                <a:solidFill>
                  <a:schemeClr val="bg1">
                    <a:lumMod val="85000"/>
                  </a:schemeClr>
                </a:solidFill>
              </a:ln>
              <a:effectLst/>
            </c:spPr>
          </c:marker>
          <c:xVal>
            <c:numRef>
              <c:f>'04112020'!$M$5:$M$16</c:f>
              <c:numCache>
                <c:formatCode>General</c:formatCode>
                <c:ptCount val="12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18</c:v>
                </c:pt>
                <c:pt idx="8">
                  <c:v>20</c:v>
                </c:pt>
                <c:pt idx="9">
                  <c:v>22</c:v>
                </c:pt>
                <c:pt idx="10">
                  <c:v>24</c:v>
                </c:pt>
                <c:pt idx="11">
                  <c:v>44</c:v>
                </c:pt>
              </c:numCache>
            </c:numRef>
          </c:xVal>
          <c:yVal>
            <c:numRef>
              <c:f>'04112020'!$N$5:$N$16</c:f>
              <c:numCache>
                <c:formatCode>General</c:formatCode>
                <c:ptCount val="12"/>
                <c:pt idx="0">
                  <c:v>1</c:v>
                </c:pt>
                <c:pt idx="1">
                  <c:v>9.56</c:v>
                </c:pt>
                <c:pt idx="2">
                  <c:v>18.12</c:v>
                </c:pt>
                <c:pt idx="3">
                  <c:v>26.68</c:v>
                </c:pt>
                <c:pt idx="4">
                  <c:v>35.24</c:v>
                </c:pt>
                <c:pt idx="5">
                  <c:v>43.800000000000004</c:v>
                </c:pt>
                <c:pt idx="6">
                  <c:v>52.36</c:v>
                </c:pt>
                <c:pt idx="7">
                  <c:v>155.08000000000001</c:v>
                </c:pt>
                <c:pt idx="8">
                  <c:v>172.20000000000002</c:v>
                </c:pt>
                <c:pt idx="9">
                  <c:v>189.32000000000002</c:v>
                </c:pt>
                <c:pt idx="10">
                  <c:v>206.44</c:v>
                </c:pt>
                <c:pt idx="11">
                  <c:v>377.64000000000004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A142-4B08-81D1-CF732FCCD5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73442944"/>
        <c:axId val="389613856"/>
        <c:extLst>
          <c:ext xmlns:c15="http://schemas.microsoft.com/office/drawing/2012/chart" uri="{02D57815-91ED-43cb-92C2-25804820EDAC}">
            <c15:filteredScatterSeries>
              <c15:ser>
                <c:idx val="2"/>
                <c:order val="0"/>
                <c:xVal>
                  <c:numRef>
                    <c:extLst>
                      <c:ext uri="{02D57815-91ED-43cb-92C2-25804820EDAC}">
                        <c15:formulaRef>
                          <c15:sqref>'04112020'!$M$5:$M$15</c15:sqref>
                        </c15:formulaRef>
                      </c:ext>
                    </c:extLst>
                    <c:numCache>
                      <c:formatCode>General</c:formatCode>
                      <c:ptCount val="11"/>
                      <c:pt idx="0">
                        <c:v>0</c:v>
                      </c:pt>
                      <c:pt idx="1">
                        <c:v>1</c:v>
                      </c:pt>
                      <c:pt idx="2">
                        <c:v>2</c:v>
                      </c:pt>
                      <c:pt idx="3">
                        <c:v>3</c:v>
                      </c:pt>
                      <c:pt idx="4">
                        <c:v>4</c:v>
                      </c:pt>
                      <c:pt idx="5">
                        <c:v>5</c:v>
                      </c:pt>
                      <c:pt idx="6">
                        <c:v>6</c:v>
                      </c:pt>
                      <c:pt idx="7">
                        <c:v>18</c:v>
                      </c:pt>
                      <c:pt idx="8">
                        <c:v>20</c:v>
                      </c:pt>
                      <c:pt idx="9">
                        <c:v>22</c:v>
                      </c:pt>
                      <c:pt idx="10">
                        <c:v>24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'04112020'!$O$5:$O$15</c15:sqref>
                        </c15:formulaRef>
                      </c:ext>
                    </c:extLst>
                    <c:numCache>
                      <c:formatCode>0.00</c:formatCode>
                      <c:ptCount val="11"/>
                      <c:pt idx="0" formatCode="General">
                        <c:v>0</c:v>
                      </c:pt>
                      <c:pt idx="1">
                        <c:v>7.5035944329422595</c:v>
                      </c:pt>
                      <c:pt idx="2">
                        <c:v>15.04866833004526</c:v>
                      </c:pt>
                      <c:pt idx="3">
                        <c:v>27.447562358276645</c:v>
                      </c:pt>
                      <c:pt idx="4">
                        <c:v>33.414765544190324</c:v>
                      </c:pt>
                      <c:pt idx="5">
                        <c:v>41.229577896732465</c:v>
                      </c:pt>
                      <c:pt idx="6">
                        <c:v>49.080537181265342</c:v>
                      </c:pt>
                      <c:pt idx="7">
                        <c:v>109.86397411313519</c:v>
                      </c:pt>
                      <c:pt idx="8">
                        <c:v>109.93055555555556</c:v>
                      </c:pt>
                      <c:pt idx="9">
                        <c:v>110.88184931506849</c:v>
                      </c:pt>
                      <c:pt idx="10">
                        <c:v>113.3538732394366</c:v>
                      </c:pt>
                    </c:numCache>
                  </c:numRef>
                </c:yVal>
                <c:smooth val="1"/>
                <c:extLst>
                  <c:ext xmlns:c16="http://schemas.microsoft.com/office/drawing/2014/chart" uri="{C3380CC4-5D6E-409C-BE32-E72D297353CC}">
                    <c16:uniqueId val="{00000002-A142-4B08-81D1-CF732FCCD5FD}"/>
                  </c:ext>
                </c:extLst>
              </c15:ser>
            </c15:filteredScatterSeries>
            <c15:filteredScatterSeries>
              <c15:ser>
                <c:idx val="3"/>
                <c:order val="1"/>
                <c:spPr>
                  <a:ln>
                    <a:solidFill>
                      <a:schemeClr val="accent2"/>
                    </a:solidFill>
                  </a:ln>
                </c:spP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'04112020'!$M$5:$M$15</c15:sqref>
                        </c15:formulaRef>
                      </c:ext>
                    </c:extLst>
                    <c:numCache>
                      <c:formatCode>General</c:formatCode>
                      <c:ptCount val="11"/>
                      <c:pt idx="0">
                        <c:v>0</c:v>
                      </c:pt>
                      <c:pt idx="1">
                        <c:v>1</c:v>
                      </c:pt>
                      <c:pt idx="2">
                        <c:v>2</c:v>
                      </c:pt>
                      <c:pt idx="3">
                        <c:v>3</c:v>
                      </c:pt>
                      <c:pt idx="4">
                        <c:v>4</c:v>
                      </c:pt>
                      <c:pt idx="5">
                        <c:v>5</c:v>
                      </c:pt>
                      <c:pt idx="6">
                        <c:v>6</c:v>
                      </c:pt>
                      <c:pt idx="7">
                        <c:v>18</c:v>
                      </c:pt>
                      <c:pt idx="8">
                        <c:v>20</c:v>
                      </c:pt>
                      <c:pt idx="9">
                        <c:v>22</c:v>
                      </c:pt>
                      <c:pt idx="10">
                        <c:v>24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'04112020'!$O$5:$O$15</c15:sqref>
                        </c15:formulaRef>
                      </c:ext>
                    </c:extLst>
                    <c:numCache>
                      <c:formatCode>0.00</c:formatCode>
                      <c:ptCount val="11"/>
                      <c:pt idx="0" formatCode="General">
                        <c:v>0</c:v>
                      </c:pt>
                      <c:pt idx="1">
                        <c:v>7.5035944329422595</c:v>
                      </c:pt>
                      <c:pt idx="2">
                        <c:v>15.04866833004526</c:v>
                      </c:pt>
                      <c:pt idx="3">
                        <c:v>27.447562358276645</c:v>
                      </c:pt>
                      <c:pt idx="4">
                        <c:v>33.414765544190324</c:v>
                      </c:pt>
                      <c:pt idx="5">
                        <c:v>41.229577896732465</c:v>
                      </c:pt>
                      <c:pt idx="6">
                        <c:v>49.080537181265342</c:v>
                      </c:pt>
                      <c:pt idx="7">
                        <c:v>109.86397411313519</c:v>
                      </c:pt>
                      <c:pt idx="8">
                        <c:v>109.93055555555556</c:v>
                      </c:pt>
                      <c:pt idx="9">
                        <c:v>110.88184931506849</c:v>
                      </c:pt>
                      <c:pt idx="10">
                        <c:v>113.3538732394366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A142-4B08-81D1-CF732FCCD5FD}"/>
                  </c:ext>
                </c:extLst>
              </c15:ser>
            </c15:filteredScatterSeries>
          </c:ext>
        </c:extLst>
      </c:scatterChart>
      <c:valAx>
        <c:axId val="27344294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time [h]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89613856"/>
        <c:crosses val="autoZero"/>
        <c:crossBetween val="midCat"/>
      </c:valAx>
      <c:valAx>
        <c:axId val="3896138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baseline="0"/>
                  <a:t>concentration [mM]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73442944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14379116012988241"/>
          <c:y val="0.19176197422103222"/>
          <c:w val="0.22162288761797599"/>
          <c:h val="0.16384516352732303"/>
        </c:manualLayout>
      </c:layout>
      <c:overlay val="0"/>
    </c:legend>
    <c:plotVisOnly val="1"/>
    <c:dispBlanksAs val="gap"/>
    <c:showDLblsOverMax val="0"/>
    <c:extLst/>
  </c:chart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beads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smoothMarker"/>
        <c:varyColors val="0"/>
        <c:ser>
          <c:idx val="4"/>
          <c:order val="0"/>
          <c:tx>
            <c:v>styrene oxide</c:v>
          </c:tx>
          <c:xVal>
            <c:numRef>
              <c:f>'04112020'!$M$22:$M$33</c:f>
              <c:numCache>
                <c:formatCode>General</c:formatCode>
                <c:ptCount val="12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18</c:v>
                </c:pt>
                <c:pt idx="8">
                  <c:v>20</c:v>
                </c:pt>
                <c:pt idx="9">
                  <c:v>22</c:v>
                </c:pt>
                <c:pt idx="10">
                  <c:v>24</c:v>
                </c:pt>
                <c:pt idx="11">
                  <c:v>44</c:v>
                </c:pt>
              </c:numCache>
            </c:numRef>
          </c:xVal>
          <c:yVal>
            <c:numRef>
              <c:f>'04112020'!$O$22:$O$33</c:f>
              <c:numCache>
                <c:formatCode>0.00</c:formatCode>
                <c:ptCount val="12"/>
                <c:pt idx="0" formatCode="General">
                  <c:v>0</c:v>
                </c:pt>
                <c:pt idx="1">
                  <c:v>9.1006925583921792</c:v>
                </c:pt>
                <c:pt idx="2">
                  <c:v>11.08257289700021</c:v>
                </c:pt>
                <c:pt idx="3">
                  <c:v>12.809221146085553</c:v>
                </c:pt>
                <c:pt idx="4">
                  <c:v>15.783400569530137</c:v>
                </c:pt>
                <c:pt idx="5">
                  <c:v>21.61452738990333</c:v>
                </c:pt>
                <c:pt idx="6">
                  <c:v>28.427880820836627</c:v>
                </c:pt>
                <c:pt idx="7">
                  <c:v>101.02223032069971</c:v>
                </c:pt>
                <c:pt idx="8">
                  <c:v>102.84438775510205</c:v>
                </c:pt>
                <c:pt idx="9">
                  <c:v>104.34010004653327</c:v>
                </c:pt>
                <c:pt idx="10">
                  <c:v>108.53190866510536</c:v>
                </c:pt>
                <c:pt idx="11">
                  <c:v>115.28838974614234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A-1619-42E9-8D1D-B14A4028567D}"/>
            </c:ext>
          </c:extLst>
        </c:ser>
        <c:ser>
          <c:idx val="0"/>
          <c:order val="1"/>
          <c:tx>
            <c:v>tBuOOH</c:v>
          </c:tx>
          <c:spPr>
            <a:ln>
              <a:solidFill>
                <a:schemeClr val="bg1">
                  <a:lumMod val="85000"/>
                  <a:alpha val="99000"/>
                </a:schemeClr>
              </a:solidFill>
            </a:ln>
          </c:spPr>
          <c:marker>
            <c:symbol val="circle"/>
            <c:size val="5"/>
            <c:spPr>
              <a:solidFill>
                <a:schemeClr val="bg1">
                  <a:lumMod val="85000"/>
                </a:schemeClr>
              </a:solidFill>
              <a:ln w="9525">
                <a:solidFill>
                  <a:schemeClr val="bg1">
                    <a:lumMod val="85000"/>
                  </a:schemeClr>
                </a:solidFill>
              </a:ln>
              <a:effectLst/>
            </c:spPr>
          </c:marker>
          <c:xVal>
            <c:numRef>
              <c:f>'04112020'!$M$22:$M$33</c:f>
              <c:numCache>
                <c:formatCode>General</c:formatCode>
                <c:ptCount val="12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18</c:v>
                </c:pt>
                <c:pt idx="8">
                  <c:v>20</c:v>
                </c:pt>
                <c:pt idx="9">
                  <c:v>22</c:v>
                </c:pt>
                <c:pt idx="10">
                  <c:v>24</c:v>
                </c:pt>
                <c:pt idx="11">
                  <c:v>44</c:v>
                </c:pt>
              </c:numCache>
            </c:numRef>
          </c:xVal>
          <c:yVal>
            <c:numRef>
              <c:f>'04112020'!$N$22:$N$33</c:f>
              <c:numCache>
                <c:formatCode>General</c:formatCode>
                <c:ptCount val="12"/>
                <c:pt idx="0">
                  <c:v>1</c:v>
                </c:pt>
                <c:pt idx="1">
                  <c:v>9.56</c:v>
                </c:pt>
                <c:pt idx="2">
                  <c:v>18.12</c:v>
                </c:pt>
                <c:pt idx="3">
                  <c:v>26.68</c:v>
                </c:pt>
                <c:pt idx="4">
                  <c:v>35.24</c:v>
                </c:pt>
                <c:pt idx="5">
                  <c:v>43.800000000000004</c:v>
                </c:pt>
                <c:pt idx="6">
                  <c:v>52.36</c:v>
                </c:pt>
                <c:pt idx="7">
                  <c:v>155.08000000000001</c:v>
                </c:pt>
                <c:pt idx="8">
                  <c:v>172.20000000000002</c:v>
                </c:pt>
                <c:pt idx="9">
                  <c:v>189.32000000000002</c:v>
                </c:pt>
                <c:pt idx="10">
                  <c:v>206.44</c:v>
                </c:pt>
                <c:pt idx="11">
                  <c:v>377.64000000000004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9-1619-42E9-8D1D-B14A402856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73442944"/>
        <c:axId val="389613856"/>
      </c:scatterChart>
      <c:valAx>
        <c:axId val="27344294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time [h]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89613856"/>
        <c:crosses val="autoZero"/>
        <c:crossBetween val="midCat"/>
      </c:valAx>
      <c:valAx>
        <c:axId val="3896138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baseline="0"/>
                  <a:t>concentration [mM]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73442944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  <c:extLst/>
  </c:chart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beads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12981068418893602"/>
          <c:y val="0.15882863280587484"/>
          <c:w val="0.81687729616016669"/>
          <c:h val="0.65102532899983179"/>
        </c:manualLayout>
      </c:layout>
      <c:scatterChart>
        <c:scatterStyle val="smoothMarker"/>
        <c:varyColors val="0"/>
        <c:ser>
          <c:idx val="4"/>
          <c:order val="0"/>
          <c:tx>
            <c:v>styrene oxide</c:v>
          </c:tx>
          <c:xVal>
            <c:numRef>
              <c:f>'long term TTN'!$I$18:$I$28</c:f>
              <c:numCache>
                <c:formatCode>General</c:formatCode>
                <c:ptCount val="1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18</c:v>
                </c:pt>
                <c:pt idx="6">
                  <c:v>20</c:v>
                </c:pt>
                <c:pt idx="7">
                  <c:v>22</c:v>
                </c:pt>
                <c:pt idx="8">
                  <c:v>24</c:v>
                </c:pt>
                <c:pt idx="9">
                  <c:v>46</c:v>
                </c:pt>
                <c:pt idx="10">
                  <c:v>48</c:v>
                </c:pt>
              </c:numCache>
            </c:numRef>
          </c:xVal>
          <c:yVal>
            <c:numRef>
              <c:f>'long term TTN'!$O$18:$O$28</c:f>
              <c:numCache>
                <c:formatCode>General</c:formatCode>
                <c:ptCount val="11"/>
                <c:pt idx="0">
                  <c:v>0</c:v>
                </c:pt>
                <c:pt idx="1">
                  <c:v>6.6213557689108296</c:v>
                </c:pt>
                <c:pt idx="2">
                  <c:v>8.7873539198099593</c:v>
                </c:pt>
                <c:pt idx="3">
                  <c:v>11.692504273830178</c:v>
                </c:pt>
                <c:pt idx="4">
                  <c:v>15.776340817137498</c:v>
                </c:pt>
                <c:pt idx="5">
                  <c:v>77.996465099394527</c:v>
                </c:pt>
                <c:pt idx="6">
                  <c:v>78.915278658616316</c:v>
                </c:pt>
                <c:pt idx="7">
                  <c:v>79.658175323891925</c:v>
                </c:pt>
                <c:pt idx="8">
                  <c:v>82.487288919018852</c:v>
                </c:pt>
                <c:pt idx="9">
                  <c:v>88.045262827515074</c:v>
                </c:pt>
                <c:pt idx="10">
                  <c:v>87.521121729511464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22A-4962-BCC8-E30F99A2DF7F}"/>
            </c:ext>
          </c:extLst>
        </c:ser>
        <c:ser>
          <c:idx val="0"/>
          <c:order val="1"/>
          <c:tx>
            <c:v>tBuOOH</c:v>
          </c:tx>
          <c:spPr>
            <a:ln>
              <a:solidFill>
                <a:schemeClr val="bg1">
                  <a:lumMod val="85000"/>
                  <a:alpha val="99000"/>
                </a:schemeClr>
              </a:solidFill>
            </a:ln>
          </c:spPr>
          <c:marker>
            <c:symbol val="circle"/>
            <c:size val="5"/>
            <c:spPr>
              <a:solidFill>
                <a:schemeClr val="bg1">
                  <a:lumMod val="85000"/>
                </a:schemeClr>
              </a:solidFill>
              <a:ln w="9525">
                <a:solidFill>
                  <a:schemeClr val="bg1">
                    <a:lumMod val="85000"/>
                  </a:schemeClr>
                </a:solidFill>
              </a:ln>
              <a:effectLst/>
            </c:spPr>
          </c:marker>
          <c:xVal>
            <c:numRef>
              <c:f>'04112020'!$M$22:$M$33</c:f>
              <c:numCache>
                <c:formatCode>General</c:formatCode>
                <c:ptCount val="12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18</c:v>
                </c:pt>
                <c:pt idx="8">
                  <c:v>20</c:v>
                </c:pt>
                <c:pt idx="9">
                  <c:v>22</c:v>
                </c:pt>
                <c:pt idx="10">
                  <c:v>24</c:v>
                </c:pt>
                <c:pt idx="11">
                  <c:v>44</c:v>
                </c:pt>
              </c:numCache>
            </c:numRef>
          </c:xVal>
          <c:yVal>
            <c:numRef>
              <c:f>'04112020'!$N$22:$N$33</c:f>
              <c:numCache>
                <c:formatCode>General</c:formatCode>
                <c:ptCount val="12"/>
                <c:pt idx="0">
                  <c:v>1</c:v>
                </c:pt>
                <c:pt idx="1">
                  <c:v>9.56</c:v>
                </c:pt>
                <c:pt idx="2">
                  <c:v>18.12</c:v>
                </c:pt>
                <c:pt idx="3">
                  <c:v>26.68</c:v>
                </c:pt>
                <c:pt idx="4">
                  <c:v>35.24</c:v>
                </c:pt>
                <c:pt idx="5">
                  <c:v>43.800000000000004</c:v>
                </c:pt>
                <c:pt idx="6">
                  <c:v>52.36</c:v>
                </c:pt>
                <c:pt idx="7">
                  <c:v>155.08000000000001</c:v>
                </c:pt>
                <c:pt idx="8">
                  <c:v>172.20000000000002</c:v>
                </c:pt>
                <c:pt idx="9">
                  <c:v>189.32000000000002</c:v>
                </c:pt>
                <c:pt idx="10">
                  <c:v>206.44</c:v>
                </c:pt>
                <c:pt idx="11">
                  <c:v>377.64000000000004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822A-4962-BCC8-E30F99A2DF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73442944"/>
        <c:axId val="389613856"/>
      </c:scatterChart>
      <c:valAx>
        <c:axId val="27344294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time [h]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89613856"/>
        <c:crosses val="autoZero"/>
        <c:crossBetween val="midCat"/>
      </c:valAx>
      <c:valAx>
        <c:axId val="3896138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baseline="0"/>
                  <a:t>concentration [mM]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73442944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1520720828849596"/>
          <c:y val="0.18295118471634822"/>
          <c:w val="0.22150623996553859"/>
          <c:h val="0.15487109248950764"/>
        </c:manualLayout>
      </c:layout>
      <c:overlay val="0"/>
    </c:legend>
    <c:plotVisOnly val="1"/>
    <c:dispBlanksAs val="gap"/>
    <c:showDLblsOverMax val="0"/>
    <c:extLst/>
  </c:chart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free UPO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smoothMarker"/>
        <c:varyColors val="0"/>
        <c:ser>
          <c:idx val="1"/>
          <c:order val="0"/>
          <c:xVal>
            <c:numRef>
              <c:f>'long term TTN'!$S$5:$S$15</c:f>
              <c:numCache>
                <c:formatCode>General</c:formatCode>
                <c:ptCount val="1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18</c:v>
                </c:pt>
                <c:pt idx="6">
                  <c:v>20</c:v>
                </c:pt>
                <c:pt idx="7">
                  <c:v>22</c:v>
                </c:pt>
                <c:pt idx="8">
                  <c:v>24</c:v>
                </c:pt>
                <c:pt idx="9">
                  <c:v>46</c:v>
                </c:pt>
                <c:pt idx="10">
                  <c:v>48</c:v>
                </c:pt>
              </c:numCache>
            </c:numRef>
          </c:xVal>
          <c:yVal>
            <c:numRef>
              <c:f>'long term TTN'!$T$5:$T$15</c:f>
              <c:numCache>
                <c:formatCode>General</c:formatCode>
                <c:ptCount val="11"/>
                <c:pt idx="0">
                  <c:v>0</c:v>
                </c:pt>
                <c:pt idx="1">
                  <c:v>7863.4181044146235</c:v>
                </c:pt>
                <c:pt idx="2">
                  <c:v>3868.1816393445297</c:v>
                </c:pt>
                <c:pt idx="3">
                  <c:v>4365.3151439538033</c:v>
                </c:pt>
                <c:pt idx="4">
                  <c:v>2210.3865002585276</c:v>
                </c:pt>
                <c:pt idx="5">
                  <c:v>1495.8759646842232</c:v>
                </c:pt>
                <c:pt idx="6">
                  <c:v>-242.27759226737999</c:v>
                </c:pt>
                <c:pt idx="7">
                  <c:v>260.49700194898139</c:v>
                </c:pt>
                <c:pt idx="8">
                  <c:v>28.251924570271427</c:v>
                </c:pt>
                <c:pt idx="9">
                  <c:v>-243.93408283973127</c:v>
                </c:pt>
                <c:pt idx="10">
                  <c:v>-134.50784838897687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3407-4B97-8A12-93E1DCC3F30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73442944"/>
        <c:axId val="389613856"/>
      </c:scatterChart>
      <c:valAx>
        <c:axId val="27344294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time [h]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89613856"/>
        <c:crosses val="autoZero"/>
        <c:crossBetween val="midCat"/>
      </c:valAx>
      <c:valAx>
        <c:axId val="3896138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TOF [1/h]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73442944"/>
        <c:crosses val="autoZero"/>
        <c:crossBetween val="midCat"/>
      </c:valAx>
    </c:plotArea>
    <c:plotVisOnly val="1"/>
    <c:dispBlanksAs val="gap"/>
    <c:showDLblsOverMax val="0"/>
    <c:extLst/>
  </c:chart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beads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'long term TTN'!$S$18:$S$28</c:f>
              <c:numCache>
                <c:formatCode>General</c:formatCode>
                <c:ptCount val="1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18</c:v>
                </c:pt>
                <c:pt idx="6">
                  <c:v>20</c:v>
                </c:pt>
                <c:pt idx="7">
                  <c:v>22</c:v>
                </c:pt>
                <c:pt idx="8">
                  <c:v>24</c:v>
                </c:pt>
                <c:pt idx="9">
                  <c:v>46</c:v>
                </c:pt>
                <c:pt idx="10">
                  <c:v>48</c:v>
                </c:pt>
              </c:numCache>
            </c:numRef>
          </c:xVal>
          <c:yVal>
            <c:numRef>
              <c:f>'long term TTN'!$AA$18:$AA$28</c:f>
              <c:numCache>
                <c:formatCode>General</c:formatCode>
                <c:ptCount val="11"/>
                <c:pt idx="0">
                  <c:v>0</c:v>
                </c:pt>
                <c:pt idx="1">
                  <c:v>8323.5144800890375</c:v>
                </c:pt>
                <c:pt idx="2">
                  <c:v>2722.8135146437817</c:v>
                </c:pt>
                <c:pt idx="3">
                  <c:v>3651.9803318921686</c:v>
                </c:pt>
                <c:pt idx="4">
                  <c:v>5133.6725874384902</c:v>
                </c:pt>
                <c:pt idx="5">
                  <c:v>5562.3070199867443</c:v>
                </c:pt>
                <c:pt idx="6">
                  <c:v>577.50695111363677</c:v>
                </c:pt>
                <c:pt idx="7">
                  <c:v>466.93693606261212</c:v>
                </c:pt>
                <c:pt idx="8">
                  <c:v>1778.1983627447619</c:v>
                </c:pt>
                <c:pt idx="9">
                  <c:v>325.36474104474422</c:v>
                </c:pt>
                <c:pt idx="10">
                  <c:v>-329.44129352835813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A0D2-4305-819F-80A72526D6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73442944"/>
        <c:axId val="389613856"/>
      </c:scatterChart>
      <c:valAx>
        <c:axId val="27344294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time [h]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89613856"/>
        <c:crosses val="autoZero"/>
        <c:crossBetween val="midCat"/>
      </c:valAx>
      <c:valAx>
        <c:axId val="3896138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TOF</a:t>
                </a:r>
                <a:r>
                  <a:rPr lang="en-GB" baseline="0"/>
                  <a:t> [1/h]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7344294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TTN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1639972080324659"/>
          <c:y val="0.13104129292448696"/>
          <c:w val="0.81042661195057841"/>
          <c:h val="0.72638576417620826"/>
        </c:manualLayout>
      </c:layout>
      <c:scatterChart>
        <c:scatterStyle val="smoothMarker"/>
        <c:varyColors val="0"/>
        <c:ser>
          <c:idx val="0"/>
          <c:order val="0"/>
          <c:tx>
            <c:v>beads</c:v>
          </c:tx>
          <c:errBars>
            <c:errDir val="y"/>
            <c:errBarType val="both"/>
            <c:errValType val="cust"/>
            <c:noEndCap val="0"/>
            <c:plus>
              <c:numRef>
                <c:f>'long term TTN'!$R$18:$R$28</c:f>
                <c:numCache>
                  <c:formatCode>General</c:formatCode>
                  <c:ptCount val="11"/>
                  <c:pt idx="0">
                    <c:v>0</c:v>
                  </c:pt>
                  <c:pt idx="1">
                    <c:v>8154.2132869188181</c:v>
                  </c:pt>
                  <c:pt idx="2">
                    <c:v>7548.6739678106069</c:v>
                  </c:pt>
                  <c:pt idx="3">
                    <c:v>3672.7352234288719</c:v>
                  </c:pt>
                  <c:pt idx="4">
                    <c:v>23.218599024805634</c:v>
                  </c:pt>
                  <c:pt idx="5">
                    <c:v>75728.719674391934</c:v>
                  </c:pt>
                  <c:pt idx="6">
                    <c:v>78699.699115710464</c:v>
                  </c:pt>
                  <c:pt idx="7">
                    <c:v>81175.610902863191</c:v>
                  </c:pt>
                  <c:pt idx="8">
                    <c:v>85657.335980850403</c:v>
                  </c:pt>
                  <c:pt idx="9">
                    <c:v>91910.798143748994</c:v>
                  </c:pt>
                  <c:pt idx="10">
                    <c:v>91943.99197438726</c:v>
                  </c:pt>
                </c:numCache>
              </c:numRef>
            </c:plus>
            <c:minus>
              <c:numRef>
                <c:f>'long term TTN'!$R$18:$R$28</c:f>
                <c:numCache>
                  <c:formatCode>General</c:formatCode>
                  <c:ptCount val="11"/>
                  <c:pt idx="0">
                    <c:v>0</c:v>
                  </c:pt>
                  <c:pt idx="1">
                    <c:v>8154.2132869188181</c:v>
                  </c:pt>
                  <c:pt idx="2">
                    <c:v>7548.6739678106069</c:v>
                  </c:pt>
                  <c:pt idx="3">
                    <c:v>3672.7352234288719</c:v>
                  </c:pt>
                  <c:pt idx="4">
                    <c:v>23.218599024805634</c:v>
                  </c:pt>
                  <c:pt idx="5">
                    <c:v>75728.719674391934</c:v>
                  </c:pt>
                  <c:pt idx="6">
                    <c:v>78699.699115710464</c:v>
                  </c:pt>
                  <c:pt idx="7">
                    <c:v>81175.610902863191</c:v>
                  </c:pt>
                  <c:pt idx="8">
                    <c:v>85657.335980850403</c:v>
                  </c:pt>
                  <c:pt idx="9">
                    <c:v>91910.798143748994</c:v>
                  </c:pt>
                  <c:pt idx="10">
                    <c:v>91943.99197438726</c:v>
                  </c:pt>
                </c:numCache>
              </c:numRef>
            </c:minus>
          </c:errBars>
          <c:errBars>
            <c:errDir val="x"/>
            <c:errBarType val="both"/>
            <c:errValType val="cust"/>
            <c:noEndCap val="0"/>
            <c:plus>
              <c:numLit>
                <c:formatCode>General</c:formatCode>
                <c:ptCount val="1"/>
                <c:pt idx="0">
                  <c:v>0</c:v>
                </c:pt>
              </c:numLit>
            </c:plus>
            <c:minus>
              <c:numLit>
                <c:formatCode>General</c:formatCode>
                <c:ptCount val="1"/>
                <c:pt idx="0">
                  <c:v>0</c:v>
                </c:pt>
              </c:numLit>
            </c:minus>
          </c:errBars>
          <c:xVal>
            <c:numRef>
              <c:f>'long term TTN'!$I$5:$I$15</c:f>
              <c:numCache>
                <c:formatCode>General</c:formatCode>
                <c:ptCount val="1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18</c:v>
                </c:pt>
                <c:pt idx="6">
                  <c:v>20</c:v>
                </c:pt>
                <c:pt idx="7">
                  <c:v>22</c:v>
                </c:pt>
                <c:pt idx="8">
                  <c:v>24</c:v>
                </c:pt>
                <c:pt idx="9">
                  <c:v>46</c:v>
                </c:pt>
                <c:pt idx="10">
                  <c:v>48</c:v>
                </c:pt>
              </c:numCache>
            </c:numRef>
          </c:xVal>
          <c:yVal>
            <c:numRef>
              <c:f>'long term TTN'!$Q$18:$Q$28</c:f>
              <c:numCache>
                <c:formatCode>General</c:formatCode>
                <c:ptCount val="11"/>
                <c:pt idx="0">
                  <c:v>0</c:v>
                </c:pt>
                <c:pt idx="1">
                  <c:v>15398.501788164722</c:v>
                </c:pt>
                <c:pt idx="2">
                  <c:v>20435.706790255717</c:v>
                </c:pt>
                <c:pt idx="3">
                  <c:v>27191.870404256231</c:v>
                </c:pt>
                <c:pt idx="4">
                  <c:v>36689.164691017431</c:v>
                </c:pt>
                <c:pt idx="5">
                  <c:v>181387.12813812681</c:v>
                </c:pt>
                <c:pt idx="6">
                  <c:v>183523.90385724726</c:v>
                </c:pt>
                <c:pt idx="7">
                  <c:v>185251.57052067891</c:v>
                </c:pt>
                <c:pt idx="8">
                  <c:v>191830.90446283453</c:v>
                </c:pt>
                <c:pt idx="9">
                  <c:v>204756.4251802676</c:v>
                </c:pt>
                <c:pt idx="10">
                  <c:v>203537.49239421269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643D-45A7-9382-481B200A8F6B}"/>
            </c:ext>
          </c:extLst>
        </c:ser>
        <c:ser>
          <c:idx val="1"/>
          <c:order val="1"/>
          <c:tx>
            <c:v>free UPO</c:v>
          </c:tx>
          <c:marker>
            <c:symbol val="circle"/>
            <c:size val="5"/>
          </c:marker>
          <c:errBars>
            <c:errDir val="x"/>
            <c:errBarType val="both"/>
            <c:errValType val="cust"/>
            <c:noEndCap val="0"/>
            <c:plus>
              <c:numLit>
                <c:formatCode>General</c:formatCode>
                <c:ptCount val="1"/>
                <c:pt idx="0">
                  <c:v>0</c:v>
                </c:pt>
              </c:numLit>
            </c:plus>
            <c:minus>
              <c:numLit>
                <c:formatCode>General</c:formatCode>
                <c:ptCount val="1"/>
                <c:pt idx="0">
                  <c:v>0</c:v>
                </c:pt>
              </c:numLit>
            </c:minus>
          </c:errBars>
          <c:errBars>
            <c:errDir val="y"/>
            <c:errBarType val="both"/>
            <c:errValType val="stdErr"/>
            <c:noEndCap val="0"/>
          </c:errBars>
          <c:xVal>
            <c:numRef>
              <c:f>'long term TTN'!$I$5:$I$15</c:f>
              <c:numCache>
                <c:formatCode>General</c:formatCode>
                <c:ptCount val="1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18</c:v>
                </c:pt>
                <c:pt idx="6">
                  <c:v>20</c:v>
                </c:pt>
                <c:pt idx="7">
                  <c:v>22</c:v>
                </c:pt>
                <c:pt idx="8">
                  <c:v>24</c:v>
                </c:pt>
                <c:pt idx="9">
                  <c:v>46</c:v>
                </c:pt>
                <c:pt idx="10">
                  <c:v>48</c:v>
                </c:pt>
              </c:numCache>
            </c:numRef>
          </c:xVal>
          <c:yVal>
            <c:numRef>
              <c:f>'long term TTN'!$Q$5:$Q$15</c:f>
              <c:numCache>
                <c:formatCode>General</c:formatCode>
                <c:ptCount val="11"/>
                <c:pt idx="0">
                  <c:v>0</c:v>
                </c:pt>
                <c:pt idx="1">
                  <c:v>7863.4181044146235</c:v>
                </c:pt>
                <c:pt idx="2">
                  <c:v>11731.599743759154</c:v>
                </c:pt>
                <c:pt idx="3">
                  <c:v>16096.914887712956</c:v>
                </c:pt>
                <c:pt idx="4">
                  <c:v>18307.301387971485</c:v>
                </c:pt>
                <c:pt idx="5">
                  <c:v>40383.826945824527</c:v>
                </c:pt>
                <c:pt idx="6">
                  <c:v>39899.271761289769</c:v>
                </c:pt>
                <c:pt idx="7">
                  <c:v>40420.265765187731</c:v>
                </c:pt>
                <c:pt idx="8">
                  <c:v>40476.769614328274</c:v>
                </c:pt>
                <c:pt idx="9">
                  <c:v>43438.91940197091</c:v>
                </c:pt>
                <c:pt idx="10">
                  <c:v>43169.903705192955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643D-45A7-9382-481B200A8F6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73442944"/>
        <c:axId val="389613856"/>
      </c:scatterChart>
      <c:valAx>
        <c:axId val="27344294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time [h]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89613856"/>
        <c:crosses val="autoZero"/>
        <c:crossBetween val="midCat"/>
      </c:valAx>
      <c:valAx>
        <c:axId val="3896138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TTN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73442944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77607400065310794"/>
          <c:y val="0.15404949544886146"/>
          <c:w val="0.15978992478707463"/>
          <c:h val="0.11997200950882643"/>
        </c:manualLayout>
      </c:layout>
      <c:overlay val="0"/>
    </c:legend>
    <c:plotVisOnly val="1"/>
    <c:dispBlanksAs val="gap"/>
    <c:showDLblsOverMax val="0"/>
    <c:extLst/>
  </c:chart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free UPO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smoothMarker"/>
        <c:varyColors val="0"/>
        <c:ser>
          <c:idx val="1"/>
          <c:order val="0"/>
          <c:xVal>
            <c:numRef>
              <c:f>'06112020'!$M$5:$M$15</c:f>
              <c:numCache>
                <c:formatCode>General</c:formatCode>
                <c:ptCount val="1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18</c:v>
                </c:pt>
                <c:pt idx="6">
                  <c:v>20</c:v>
                </c:pt>
                <c:pt idx="7">
                  <c:v>22</c:v>
                </c:pt>
                <c:pt idx="8">
                  <c:v>24</c:v>
                </c:pt>
                <c:pt idx="9">
                  <c:v>46</c:v>
                </c:pt>
                <c:pt idx="10">
                  <c:v>48</c:v>
                </c:pt>
              </c:numCache>
            </c:numRef>
          </c:xVal>
          <c:yVal>
            <c:numRef>
              <c:f>'06112020'!$R$5:$R$15</c:f>
              <c:numCache>
                <c:formatCode>General</c:formatCode>
                <c:ptCount val="11"/>
                <c:pt idx="0">
                  <c:v>0</c:v>
                </c:pt>
                <c:pt idx="1">
                  <c:v>30.869885916601103</c:v>
                </c:pt>
                <c:pt idx="2">
                  <c:v>11.331652502898304</c:v>
                </c:pt>
                <c:pt idx="3">
                  <c:v>8.903843874263174</c:v>
                </c:pt>
                <c:pt idx="4">
                  <c:v>4.8194829353479349</c:v>
                </c:pt>
                <c:pt idx="5">
                  <c:v>2.2345882966698558</c:v>
                </c:pt>
                <c:pt idx="6">
                  <c:v>-1.2156053714750001</c:v>
                </c:pt>
                <c:pt idx="7">
                  <c:v>0.79557848975456125</c:v>
                </c:pt>
                <c:pt idx="8">
                  <c:v>-1.0981425702811265</c:v>
                </c:pt>
                <c:pt idx="9">
                  <c:v>0.30593994023700655</c:v>
                </c:pt>
                <c:pt idx="10">
                  <c:v>0.13078802400221434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1586-4397-8E4B-5E7B7CAC0B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73442944"/>
        <c:axId val="389613856"/>
      </c:scatterChart>
      <c:valAx>
        <c:axId val="27344294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time [h]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89613856"/>
        <c:crosses val="autoZero"/>
        <c:crossBetween val="midCat"/>
      </c:valAx>
      <c:valAx>
        <c:axId val="3896138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activity [mM/h]]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73442944"/>
        <c:crosses val="autoZero"/>
        <c:crossBetween val="midCat"/>
      </c:valAx>
    </c:plotArea>
    <c:plotVisOnly val="1"/>
    <c:dispBlanksAs val="gap"/>
    <c:showDLblsOverMax val="0"/>
    <c:extLst/>
  </c:chart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beads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'06112020'!$M$22:$M$32</c:f>
              <c:numCache>
                <c:formatCode>General</c:formatCode>
                <c:ptCount val="1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18</c:v>
                </c:pt>
                <c:pt idx="6">
                  <c:v>20</c:v>
                </c:pt>
                <c:pt idx="7">
                  <c:v>22</c:v>
                </c:pt>
                <c:pt idx="8">
                  <c:v>24</c:v>
                </c:pt>
                <c:pt idx="9">
                  <c:v>46</c:v>
                </c:pt>
                <c:pt idx="10">
                  <c:v>48</c:v>
                </c:pt>
              </c:numCache>
            </c:numRef>
          </c:xVal>
          <c:yVal>
            <c:numRef>
              <c:f>'06112020'!$R$22:$R$32</c:f>
              <c:numCache>
                <c:formatCode>General</c:formatCode>
                <c:ptCount val="11"/>
                <c:pt idx="0">
                  <c:v>0</c:v>
                </c:pt>
                <c:pt idx="1">
                  <c:v>4.1420189794294808</c:v>
                </c:pt>
                <c:pt idx="2">
                  <c:v>2.350115963190226</c:v>
                </c:pt>
                <c:pt idx="3">
                  <c:v>4.0836524589550969</c:v>
                </c:pt>
                <c:pt idx="4">
                  <c:v>5.1934936631700541</c:v>
                </c:pt>
                <c:pt idx="5">
                  <c:v>2.8001013438103195</c:v>
                </c:pt>
                <c:pt idx="6">
                  <c:v>7.7348420206249102E-3</c:v>
                </c:pt>
                <c:pt idx="7">
                  <c:v>-4.9594804399930581E-3</c:v>
                </c:pt>
                <c:pt idx="8">
                  <c:v>0.73320928584086786</c:v>
                </c:pt>
                <c:pt idx="9">
                  <c:v>0.16620780649755479</c:v>
                </c:pt>
                <c:pt idx="10">
                  <c:v>-0.26711693929043179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CADC-486E-A5E6-5B9C3B5E877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73442944"/>
        <c:axId val="389613856"/>
      </c:scatterChart>
      <c:valAx>
        <c:axId val="27344294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time [h]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89613856"/>
        <c:crosses val="autoZero"/>
        <c:crossBetween val="midCat"/>
      </c:valAx>
      <c:valAx>
        <c:axId val="3896138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activity [mM/h]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7344294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free UPO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14497987210750429"/>
          <c:y val="0.12452988312179286"/>
          <c:w val="0.81042661195057841"/>
          <c:h val="0.72638576417620826"/>
        </c:manualLayout>
      </c:layout>
      <c:scatterChart>
        <c:scatterStyle val="smoothMarker"/>
        <c:varyColors val="0"/>
        <c:ser>
          <c:idx val="0"/>
          <c:order val="0"/>
          <c:xVal>
            <c:numRef>
              <c:f>'feed rates tBuOOH '!$J$5:$J$15</c:f>
              <c:numCache>
                <c:formatCode>General</c:formatCode>
                <c:ptCount val="1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18</c:v>
                </c:pt>
                <c:pt idx="6">
                  <c:v>20</c:v>
                </c:pt>
                <c:pt idx="7">
                  <c:v>22</c:v>
                </c:pt>
                <c:pt idx="8">
                  <c:v>24</c:v>
                </c:pt>
                <c:pt idx="9">
                  <c:v>46</c:v>
                </c:pt>
                <c:pt idx="10">
                  <c:v>48</c:v>
                </c:pt>
              </c:numCache>
            </c:numRef>
          </c:xVal>
          <c:yVal>
            <c:numRef>
              <c:f>'feed rates tBuOOH '!$V$5:$V$15</c:f>
              <c:numCache>
                <c:formatCode>General</c:formatCode>
                <c:ptCount val="11"/>
                <c:pt idx="0">
                  <c:v>0</c:v>
                </c:pt>
                <c:pt idx="1">
                  <c:v>7863.4181044146235</c:v>
                </c:pt>
                <c:pt idx="2">
                  <c:v>11731.599743759154</c:v>
                </c:pt>
                <c:pt idx="3">
                  <c:v>16096.914887712956</c:v>
                </c:pt>
                <c:pt idx="4">
                  <c:v>18307.301387971485</c:v>
                </c:pt>
                <c:pt idx="5">
                  <c:v>40383.826945824527</c:v>
                </c:pt>
                <c:pt idx="6">
                  <c:v>39899.271761289769</c:v>
                </c:pt>
                <c:pt idx="7">
                  <c:v>40420.265765187731</c:v>
                </c:pt>
                <c:pt idx="8">
                  <c:v>40476.769614328274</c:v>
                </c:pt>
                <c:pt idx="9">
                  <c:v>43438.91940197091</c:v>
                </c:pt>
                <c:pt idx="10">
                  <c:v>43169.903705192955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7351-40C5-AF8F-2DC9D5E5BF13}"/>
            </c:ext>
          </c:extLst>
        </c:ser>
        <c:ser>
          <c:idx val="1"/>
          <c:order val="1"/>
          <c:tx>
            <c:v>One shot</c:v>
          </c:tx>
          <c:marker>
            <c:symbol val="circle"/>
            <c:size val="5"/>
          </c:marker>
          <c:xVal>
            <c:numRef>
              <c:f>'feed rates tBuOOH '!$J$5:$J$15</c:f>
              <c:numCache>
                <c:formatCode>General</c:formatCode>
                <c:ptCount val="1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18</c:v>
                </c:pt>
                <c:pt idx="6">
                  <c:v>20</c:v>
                </c:pt>
                <c:pt idx="7">
                  <c:v>22</c:v>
                </c:pt>
                <c:pt idx="8">
                  <c:v>24</c:v>
                </c:pt>
                <c:pt idx="9">
                  <c:v>46</c:v>
                </c:pt>
                <c:pt idx="10">
                  <c:v>48</c:v>
                </c:pt>
              </c:numCache>
            </c:numRef>
          </c:xVal>
          <c:yVal>
            <c:numRef>
              <c:f>'feed rates tBuOOH '!$M$5:$M$15</c:f>
              <c:numCache>
                <c:formatCode>General</c:formatCode>
                <c:ptCount val="11"/>
                <c:pt idx="0">
                  <c:v>0</c:v>
                </c:pt>
                <c:pt idx="1">
                  <c:v>6004.9048893562131</c:v>
                </c:pt>
                <c:pt idx="2">
                  <c:v>6290.1987238231004</c:v>
                </c:pt>
                <c:pt idx="3">
                  <c:v>6767.8966327168337</c:v>
                </c:pt>
                <c:pt idx="4">
                  <c:v>7110.3166884981283</c:v>
                </c:pt>
                <c:pt idx="5">
                  <c:v>9885.9074762406071</c:v>
                </c:pt>
                <c:pt idx="6">
                  <c:v>9477.1263572493062</c:v>
                </c:pt>
                <c:pt idx="7">
                  <c:v>10440.419696782943</c:v>
                </c:pt>
                <c:pt idx="8">
                  <c:v>9415.6794610541674</c:v>
                </c:pt>
                <c:pt idx="9">
                  <c:v>14540.840640487993</c:v>
                </c:pt>
                <c:pt idx="10">
                  <c:v>15569.034991045601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7351-40C5-AF8F-2DC9D5E5BF13}"/>
            </c:ext>
          </c:extLst>
        </c:ser>
        <c:ser>
          <c:idx val="2"/>
          <c:order val="2"/>
          <c:tx>
            <c:v>24h supply</c:v>
          </c:tx>
          <c:xVal>
            <c:numRef>
              <c:f>'feed rates tBuOOH '!$J$5:$J$15</c:f>
              <c:numCache>
                <c:formatCode>General</c:formatCode>
                <c:ptCount val="1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18</c:v>
                </c:pt>
                <c:pt idx="6">
                  <c:v>20</c:v>
                </c:pt>
                <c:pt idx="7">
                  <c:v>22</c:v>
                </c:pt>
                <c:pt idx="8">
                  <c:v>24</c:v>
                </c:pt>
                <c:pt idx="9">
                  <c:v>46</c:v>
                </c:pt>
                <c:pt idx="10">
                  <c:v>48</c:v>
                </c:pt>
              </c:numCache>
            </c:numRef>
          </c:xVal>
          <c:yVal>
            <c:numRef>
              <c:f>'feed rates tBuOOH '!$S$5:$S$15</c:f>
              <c:numCache>
                <c:formatCode>General</c:formatCode>
                <c:ptCount val="11"/>
                <c:pt idx="0">
                  <c:v>0</c:v>
                </c:pt>
                <c:pt idx="1">
                  <c:v>19445.282356807307</c:v>
                </c:pt>
                <c:pt idx="2">
                  <c:v>23074.432810266739</c:v>
                </c:pt>
                <c:pt idx="3">
                  <c:v>24561.159172260384</c:v>
                </c:pt>
                <c:pt idx="4">
                  <c:v>25364.730323738313</c:v>
                </c:pt>
                <c:pt idx="5">
                  <c:v>28034.211357333115</c:v>
                </c:pt>
                <c:pt idx="6">
                  <c:v>27041.297224344573</c:v>
                </c:pt>
                <c:pt idx="7">
                  <c:v>27079.716143099413</c:v>
                </c:pt>
                <c:pt idx="8">
                  <c:v>27397.761541176096</c:v>
                </c:pt>
                <c:pt idx="9">
                  <c:v>31432.962529274006</c:v>
                </c:pt>
                <c:pt idx="10">
                  <c:v>31081.340730343512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7351-40C5-AF8F-2DC9D5E5BF1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73442944"/>
        <c:axId val="389613856"/>
      </c:scatterChart>
      <c:valAx>
        <c:axId val="27344294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time [h]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89613856"/>
        <c:crosses val="autoZero"/>
        <c:crossBetween val="midCat"/>
      </c:valAx>
      <c:valAx>
        <c:axId val="3896138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TTN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73442944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15386743230865219"/>
          <c:y val="0.13346093510628468"/>
          <c:w val="0.17695949452815152"/>
          <c:h val="0.26275014711451516"/>
        </c:manualLayout>
      </c:layout>
      <c:overlay val="0"/>
    </c:legend>
    <c:plotVisOnly val="1"/>
    <c:dispBlanksAs val="gap"/>
    <c:showDLblsOverMax val="0"/>
    <c:extLst/>
  </c:chart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UPO beads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14497987210750429"/>
          <c:y val="0.12452988312179286"/>
          <c:w val="0.81042661195057841"/>
          <c:h val="0.72638576417620826"/>
        </c:manualLayout>
      </c:layout>
      <c:scatterChart>
        <c:scatterStyle val="smoothMarker"/>
        <c:varyColors val="0"/>
        <c:ser>
          <c:idx val="0"/>
          <c:order val="0"/>
          <c:xVal>
            <c:numRef>
              <c:f>'feed rates tBuOOH '!$J$18:$J$28</c:f>
              <c:numCache>
                <c:formatCode>General</c:formatCode>
                <c:ptCount val="1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18</c:v>
                </c:pt>
                <c:pt idx="6">
                  <c:v>20</c:v>
                </c:pt>
                <c:pt idx="7">
                  <c:v>22</c:v>
                </c:pt>
                <c:pt idx="8">
                  <c:v>24</c:v>
                </c:pt>
                <c:pt idx="9">
                  <c:v>46</c:v>
                </c:pt>
                <c:pt idx="10">
                  <c:v>48</c:v>
                </c:pt>
              </c:numCache>
            </c:numRef>
          </c:xVal>
          <c:yVal>
            <c:numRef>
              <c:f>'feed rates tBuOOH '!$C$33:$C$43</c:f>
              <c:numCache>
                <c:formatCode>General</c:formatCode>
                <c:ptCount val="11"/>
                <c:pt idx="0">
                  <c:v>0</c:v>
                </c:pt>
                <c:pt idx="1">
                  <c:v>8323.5144800890375</c:v>
                </c:pt>
                <c:pt idx="2">
                  <c:v>11046.327994732819</c:v>
                </c:pt>
                <c:pt idx="3">
                  <c:v>14698.308326624989</c:v>
                </c:pt>
                <c:pt idx="4">
                  <c:v>19831.980914063475</c:v>
                </c:pt>
                <c:pt idx="5">
                  <c:v>98047.096290879344</c:v>
                </c:pt>
                <c:pt idx="6">
                  <c:v>99202.110193106622</c:v>
                </c:pt>
                <c:pt idx="7">
                  <c:v>100135.98406523184</c:v>
                </c:pt>
                <c:pt idx="8">
                  <c:v>103692.38079072136</c:v>
                </c:pt>
                <c:pt idx="9">
                  <c:v>110679.14874609059</c:v>
                </c:pt>
                <c:pt idx="10">
                  <c:v>110020.26615903388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5F46-48DB-A944-0F2492F1D6B6}"/>
            </c:ext>
          </c:extLst>
        </c:ser>
        <c:ser>
          <c:idx val="1"/>
          <c:order val="1"/>
          <c:marker>
            <c:symbol val="circle"/>
            <c:size val="5"/>
          </c:marker>
          <c:xVal>
            <c:numRef>
              <c:f>'feed rates tBuOOH '!$J$18:$J$28</c:f>
              <c:numCache>
                <c:formatCode>General</c:formatCode>
                <c:ptCount val="1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18</c:v>
                </c:pt>
                <c:pt idx="6">
                  <c:v>20</c:v>
                </c:pt>
                <c:pt idx="7">
                  <c:v>22</c:v>
                </c:pt>
                <c:pt idx="8">
                  <c:v>24</c:v>
                </c:pt>
                <c:pt idx="9">
                  <c:v>46</c:v>
                </c:pt>
                <c:pt idx="10">
                  <c:v>48</c:v>
                </c:pt>
              </c:numCache>
            </c:numRef>
          </c:xVal>
          <c:yVal>
            <c:numRef>
              <c:f>'feed rates tBuOOH '!$K$33:$K$43</c:f>
              <c:numCache>
                <c:formatCode>General</c:formatCode>
                <c:ptCount val="11"/>
                <c:pt idx="0">
                  <c:v>0</c:v>
                </c:pt>
                <c:pt idx="1">
                  <c:v>16438.367983705459</c:v>
                </c:pt>
                <c:pt idx="2">
                  <c:v>16162.341743737094</c:v>
                </c:pt>
                <c:pt idx="3">
                  <c:v>16817.366981877563</c:v>
                </c:pt>
                <c:pt idx="4">
                  <c:v>17557.693293659006</c:v>
                </c:pt>
                <c:pt idx="5">
                  <c:v>25428.173984709672</c:v>
                </c:pt>
                <c:pt idx="6">
                  <c:v>24996.300872488227</c:v>
                </c:pt>
                <c:pt idx="7">
                  <c:v>25403.310287031214</c:v>
                </c:pt>
                <c:pt idx="8">
                  <c:v>26583.47190287137</c:v>
                </c:pt>
                <c:pt idx="9">
                  <c:v>35130.645595761875</c:v>
                </c:pt>
                <c:pt idx="10">
                  <c:v>40424.12574051298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5F46-48DB-A944-0F2492F1D6B6}"/>
            </c:ext>
          </c:extLst>
        </c:ser>
        <c:ser>
          <c:idx val="2"/>
          <c:order val="2"/>
          <c:xVal>
            <c:numRef>
              <c:f>'feed rates tBuOOH '!$J$18:$J$28</c:f>
              <c:numCache>
                <c:formatCode>General</c:formatCode>
                <c:ptCount val="1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18</c:v>
                </c:pt>
                <c:pt idx="6">
                  <c:v>20</c:v>
                </c:pt>
                <c:pt idx="7">
                  <c:v>22</c:v>
                </c:pt>
                <c:pt idx="8">
                  <c:v>24</c:v>
                </c:pt>
                <c:pt idx="9">
                  <c:v>46</c:v>
                </c:pt>
                <c:pt idx="10">
                  <c:v>48</c:v>
                </c:pt>
              </c:numCache>
            </c:numRef>
          </c:xVal>
          <c:yVal>
            <c:numRef>
              <c:f>'feed rates tBuOOH '!$Q$33:$Q$43</c:f>
              <c:numCache>
                <c:formatCode>General</c:formatCode>
                <c:ptCount val="11"/>
                <c:pt idx="0">
                  <c:v>0</c:v>
                </c:pt>
                <c:pt idx="1">
                  <c:v>35039.3853638851</c:v>
                </c:pt>
                <c:pt idx="2">
                  <c:v>40041.341079864069</c:v>
                </c:pt>
                <c:pt idx="3">
                  <c:v>41806.563575087101</c:v>
                </c:pt>
                <c:pt idx="4">
                  <c:v>42119.642323675442</c:v>
                </c:pt>
                <c:pt idx="5">
                  <c:v>46829.313625179253</c:v>
                </c:pt>
                <c:pt idx="6">
                  <c:v>44849.612424248306</c:v>
                </c:pt>
                <c:pt idx="7">
                  <c:v>46405.966454848101</c:v>
                </c:pt>
                <c:pt idx="8">
                  <c:v>31901.472321783818</c:v>
                </c:pt>
                <c:pt idx="9">
                  <c:v>48932.195848840747</c:v>
                </c:pt>
                <c:pt idx="10">
                  <c:v>50612.315240972399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5F46-48DB-A944-0F2492F1D6B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73442944"/>
        <c:axId val="389613856"/>
      </c:scatterChart>
      <c:valAx>
        <c:axId val="27344294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time [h]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89613856"/>
        <c:crosses val="autoZero"/>
        <c:crossBetween val="midCat"/>
      </c:valAx>
      <c:valAx>
        <c:axId val="3896138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TTN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73442944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15386743230865219"/>
          <c:y val="0.13346093510628468"/>
          <c:w val="0.17749237837201087"/>
          <c:h val="0.18132532752355923"/>
        </c:manualLayout>
      </c:layout>
      <c:overlay val="0"/>
    </c:legend>
    <c:plotVisOnly val="1"/>
    <c:dispBlanksAs val="gap"/>
    <c:showDLblsOverMax val="0"/>
    <c:extLst/>
  </c:chart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free UPO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14497987210750429"/>
          <c:y val="0.12452988312179286"/>
          <c:w val="0.81042661195057841"/>
          <c:h val="0.72638576417620826"/>
        </c:manualLayout>
      </c:layout>
      <c:scatterChart>
        <c:scatterStyle val="smoothMarker"/>
        <c:varyColors val="0"/>
        <c:ser>
          <c:idx val="0"/>
          <c:order val="0"/>
          <c:xVal>
            <c:numRef>
              <c:f>'feed rates tBuOOH '!$J$5:$J$15</c:f>
              <c:numCache>
                <c:formatCode>General</c:formatCode>
                <c:ptCount val="1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18</c:v>
                </c:pt>
                <c:pt idx="6">
                  <c:v>20</c:v>
                </c:pt>
                <c:pt idx="7">
                  <c:v>22</c:v>
                </c:pt>
                <c:pt idx="8">
                  <c:v>24</c:v>
                </c:pt>
                <c:pt idx="9">
                  <c:v>46</c:v>
                </c:pt>
                <c:pt idx="10">
                  <c:v>48</c:v>
                </c:pt>
              </c:numCache>
            </c:numRef>
          </c:xVal>
          <c:yVal>
            <c:numRef>
              <c:f>'feed rates tBuOOH '!$F$5:$F$15</c:f>
              <c:numCache>
                <c:formatCode>General</c:formatCode>
                <c:ptCount val="11"/>
                <c:pt idx="0">
                  <c:v>0</c:v>
                </c:pt>
                <c:pt idx="1">
                  <c:v>7863.4181044146235</c:v>
                </c:pt>
                <c:pt idx="2">
                  <c:v>3868.1816393445297</c:v>
                </c:pt>
                <c:pt idx="3">
                  <c:v>4365.3151439538033</c:v>
                </c:pt>
                <c:pt idx="4">
                  <c:v>2210.3865002585276</c:v>
                </c:pt>
                <c:pt idx="5">
                  <c:v>1495.8759646842232</c:v>
                </c:pt>
                <c:pt idx="6">
                  <c:v>-242.27759226737999</c:v>
                </c:pt>
                <c:pt idx="7">
                  <c:v>260.49700194898139</c:v>
                </c:pt>
                <c:pt idx="8">
                  <c:v>28.251924570271427</c:v>
                </c:pt>
                <c:pt idx="9">
                  <c:v>-243.93408283973127</c:v>
                </c:pt>
                <c:pt idx="10">
                  <c:v>-134.50784838897687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3308-4CC0-9A78-54FD33413AA6}"/>
            </c:ext>
          </c:extLst>
        </c:ser>
        <c:ser>
          <c:idx val="1"/>
          <c:order val="1"/>
          <c:marker>
            <c:symbol val="circle"/>
            <c:size val="5"/>
          </c:marker>
          <c:xVal>
            <c:numRef>
              <c:f>'feed rates tBuOOH '!$J$5:$J$15</c:f>
              <c:numCache>
                <c:formatCode>General</c:formatCode>
                <c:ptCount val="1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18</c:v>
                </c:pt>
                <c:pt idx="6">
                  <c:v>20</c:v>
                </c:pt>
                <c:pt idx="7">
                  <c:v>22</c:v>
                </c:pt>
                <c:pt idx="8">
                  <c:v>24</c:v>
                </c:pt>
                <c:pt idx="9">
                  <c:v>46</c:v>
                </c:pt>
                <c:pt idx="10">
                  <c:v>48</c:v>
                </c:pt>
              </c:numCache>
            </c:numRef>
          </c:xVal>
          <c:yVal>
            <c:numRef>
              <c:f>'feed rates tBuOOH '!$N$5:$N$15</c:f>
              <c:numCache>
                <c:formatCode>General</c:formatCode>
                <c:ptCount val="11"/>
                <c:pt idx="0">
                  <c:v>0</c:v>
                </c:pt>
                <c:pt idx="1">
                  <c:v>6004.9048893562131</c:v>
                </c:pt>
                <c:pt idx="2">
                  <c:v>285.29383446688809</c:v>
                </c:pt>
                <c:pt idx="3">
                  <c:v>477.6979088937332</c:v>
                </c:pt>
                <c:pt idx="4">
                  <c:v>342.42005578129391</c:v>
                </c:pt>
                <c:pt idx="5">
                  <c:v>198.25648483874855</c:v>
                </c:pt>
                <c:pt idx="6">
                  <c:v>-204.39055949565056</c:v>
                </c:pt>
                <c:pt idx="7">
                  <c:v>481.64666976681804</c:v>
                </c:pt>
                <c:pt idx="8">
                  <c:v>-512.37011786438757</c:v>
                </c:pt>
                <c:pt idx="9">
                  <c:v>232.96187179244663</c:v>
                </c:pt>
                <c:pt idx="10">
                  <c:v>514.09717527880321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3308-4CC0-9A78-54FD33413AA6}"/>
            </c:ext>
          </c:extLst>
        </c:ser>
        <c:ser>
          <c:idx val="2"/>
          <c:order val="2"/>
          <c:xVal>
            <c:numRef>
              <c:f>'feed rates tBuOOH '!$J$5:$J$15</c:f>
              <c:numCache>
                <c:formatCode>General</c:formatCode>
                <c:ptCount val="1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18</c:v>
                </c:pt>
                <c:pt idx="6">
                  <c:v>20</c:v>
                </c:pt>
                <c:pt idx="7">
                  <c:v>22</c:v>
                </c:pt>
                <c:pt idx="8">
                  <c:v>24</c:v>
                </c:pt>
                <c:pt idx="9">
                  <c:v>46</c:v>
                </c:pt>
                <c:pt idx="10">
                  <c:v>48</c:v>
                </c:pt>
              </c:numCache>
            </c:numRef>
          </c:xVal>
          <c:yVal>
            <c:numRef>
              <c:f>'feed rates tBuOOH '!$T$5:$T$15</c:f>
              <c:numCache>
                <c:formatCode>General</c:formatCode>
                <c:ptCount val="11"/>
                <c:pt idx="0">
                  <c:v>0</c:v>
                </c:pt>
                <c:pt idx="1">
                  <c:v>19445.282356807307</c:v>
                </c:pt>
                <c:pt idx="2">
                  <c:v>3629.1504534594305</c:v>
                </c:pt>
                <c:pt idx="3">
                  <c:v>1486.7263619936477</c:v>
                </c:pt>
                <c:pt idx="4">
                  <c:v>803.57115147792842</c:v>
                </c:pt>
                <c:pt idx="5">
                  <c:v>190.67721668534293</c:v>
                </c:pt>
                <c:pt idx="6">
                  <c:v>-496.4570664942712</c:v>
                </c:pt>
                <c:pt idx="7">
                  <c:v>19.209459377420071</c:v>
                </c:pt>
                <c:pt idx="8">
                  <c:v>159.02269903834136</c:v>
                </c:pt>
                <c:pt idx="9">
                  <c:v>183.41822673172322</c:v>
                </c:pt>
                <c:pt idx="10">
                  <c:v>-175.81089946524685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3308-4CC0-9A78-54FD33413AA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73442944"/>
        <c:axId val="389613856"/>
      </c:scatterChart>
      <c:valAx>
        <c:axId val="27344294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time [h]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89613856"/>
        <c:crosses val="autoZero"/>
        <c:crossBetween val="midCat"/>
      </c:valAx>
      <c:valAx>
        <c:axId val="3896138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TOF [1/h]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73442944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15386743230865219"/>
          <c:y val="0.13346093510628468"/>
          <c:w val="0.17755298356993668"/>
          <c:h val="0.25821773435497192"/>
        </c:manualLayout>
      </c:layout>
      <c:overlay val="0"/>
    </c:legend>
    <c:plotVisOnly val="1"/>
    <c:dispBlanksAs val="gap"/>
    <c:showDLblsOverMax val="0"/>
    <c:extLst/>
  </c:chart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UPO beads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14497987210750429"/>
          <c:y val="0.12452988312179286"/>
          <c:w val="0.81042661195057841"/>
          <c:h val="0.72638576417620826"/>
        </c:manualLayout>
      </c:layout>
      <c:scatterChart>
        <c:scatterStyle val="smoothMarker"/>
        <c:varyColors val="0"/>
        <c:ser>
          <c:idx val="0"/>
          <c:order val="0"/>
          <c:xVal>
            <c:numRef>
              <c:f>'feed rates tBuOOH '!$J$18:$J$28</c:f>
              <c:numCache>
                <c:formatCode>General</c:formatCode>
                <c:ptCount val="1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18</c:v>
                </c:pt>
                <c:pt idx="6">
                  <c:v>20</c:v>
                </c:pt>
                <c:pt idx="7">
                  <c:v>22</c:v>
                </c:pt>
                <c:pt idx="8">
                  <c:v>24</c:v>
                </c:pt>
                <c:pt idx="9">
                  <c:v>46</c:v>
                </c:pt>
                <c:pt idx="10">
                  <c:v>48</c:v>
                </c:pt>
              </c:numCache>
            </c:numRef>
          </c:xVal>
          <c:yVal>
            <c:numRef>
              <c:f>'feed rates tBuOOH '!$F$18:$F$28</c:f>
              <c:numCache>
                <c:formatCode>General</c:formatCode>
                <c:ptCount val="11"/>
                <c:pt idx="0">
                  <c:v>0</c:v>
                </c:pt>
                <c:pt idx="1">
                  <c:v>15398.501788164722</c:v>
                </c:pt>
                <c:pt idx="2">
                  <c:v>5037.2050020909965</c:v>
                </c:pt>
                <c:pt idx="3">
                  <c:v>6756.1636140005121</c:v>
                </c:pt>
                <c:pt idx="4">
                  <c:v>9497.2942867612073</c:v>
                </c:pt>
                <c:pt idx="5">
                  <c:v>10290.267986975477</c:v>
                </c:pt>
                <c:pt idx="6">
                  <c:v>1068.387859560228</c:v>
                </c:pt>
                <c:pt idx="7">
                  <c:v>863.83333171583251</c:v>
                </c:pt>
                <c:pt idx="8">
                  <c:v>3289.6669710778096</c:v>
                </c:pt>
                <c:pt idx="9">
                  <c:v>601.92477093277682</c:v>
                </c:pt>
                <c:pt idx="10">
                  <c:v>-609.46639302746257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A23-492C-BE77-DB515B7FC0C1}"/>
            </c:ext>
          </c:extLst>
        </c:ser>
        <c:ser>
          <c:idx val="1"/>
          <c:order val="1"/>
          <c:marker>
            <c:symbol val="circle"/>
            <c:size val="5"/>
          </c:marker>
          <c:xVal>
            <c:numRef>
              <c:f>'feed rates tBuOOH '!$J$18:$J$28</c:f>
              <c:numCache>
                <c:formatCode>General</c:formatCode>
                <c:ptCount val="1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18</c:v>
                </c:pt>
                <c:pt idx="6">
                  <c:v>20</c:v>
                </c:pt>
                <c:pt idx="7">
                  <c:v>22</c:v>
                </c:pt>
                <c:pt idx="8">
                  <c:v>24</c:v>
                </c:pt>
                <c:pt idx="9">
                  <c:v>46</c:v>
                </c:pt>
                <c:pt idx="10">
                  <c:v>48</c:v>
                </c:pt>
              </c:numCache>
            </c:numRef>
          </c:xVal>
          <c:yVal>
            <c:numRef>
              <c:f>'feed rates tBuOOH '!$N$18:$N$28</c:f>
              <c:numCache>
                <c:formatCode>General</c:formatCode>
                <c:ptCount val="11"/>
                <c:pt idx="0">
                  <c:v>0</c:v>
                </c:pt>
                <c:pt idx="1">
                  <c:v>30410.980769855098</c:v>
                </c:pt>
                <c:pt idx="2">
                  <c:v>-510.64854394147056</c:v>
                </c:pt>
                <c:pt idx="3">
                  <c:v>1211.7966905598662</c:v>
                </c:pt>
                <c:pt idx="4">
                  <c:v>1369.6036767956682</c:v>
                </c:pt>
                <c:pt idx="5">
                  <c:v>1040.0278056031236</c:v>
                </c:pt>
                <c:pt idx="6">
                  <c:v>-399.48262880483418</c:v>
                </c:pt>
                <c:pt idx="7">
                  <c:v>376.48370845226202</c:v>
                </c:pt>
                <c:pt idx="8">
                  <c:v>1091.6494946521441</c:v>
                </c:pt>
                <c:pt idx="9">
                  <c:v>718.7396059930652</c:v>
                </c:pt>
                <c:pt idx="10">
                  <c:v>4896.4691338947678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8A23-492C-BE77-DB515B7FC0C1}"/>
            </c:ext>
          </c:extLst>
        </c:ser>
        <c:ser>
          <c:idx val="2"/>
          <c:order val="2"/>
          <c:xVal>
            <c:numRef>
              <c:f>'feed rates tBuOOH '!$J$18:$J$28</c:f>
              <c:numCache>
                <c:formatCode>General</c:formatCode>
                <c:ptCount val="1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18</c:v>
                </c:pt>
                <c:pt idx="6">
                  <c:v>20</c:v>
                </c:pt>
                <c:pt idx="7">
                  <c:v>22</c:v>
                </c:pt>
                <c:pt idx="8">
                  <c:v>24</c:v>
                </c:pt>
                <c:pt idx="9">
                  <c:v>46</c:v>
                </c:pt>
                <c:pt idx="10">
                  <c:v>48</c:v>
                </c:pt>
              </c:numCache>
            </c:numRef>
          </c:xVal>
          <c:yVal>
            <c:numRef>
              <c:f>'feed rates tBuOOH '!$T$18:$T$28</c:f>
              <c:numCache>
                <c:formatCode>General</c:formatCode>
                <c:ptCount val="11"/>
                <c:pt idx="0">
                  <c:v>0</c:v>
                </c:pt>
                <c:pt idx="1">
                  <c:v>64822.862923187437</c:v>
                </c:pt>
                <c:pt idx="2">
                  <c:v>9253.6180745610909</c:v>
                </c:pt>
                <c:pt idx="3">
                  <c:v>3265.6616161626171</c:v>
                </c:pt>
                <c:pt idx="4">
                  <c:v>579.19568488843151</c:v>
                </c:pt>
                <c:pt idx="5">
                  <c:v>622.34942198443173</c:v>
                </c:pt>
                <c:pt idx="6">
                  <c:v>-1831.2236108611285</c:v>
                </c:pt>
                <c:pt idx="7">
                  <c:v>1439.6274783048123</c:v>
                </c:pt>
                <c:pt idx="8">
                  <c:v>-13416.657073084461</c:v>
                </c:pt>
                <c:pt idx="9">
                  <c:v>1432.1290238661506</c:v>
                </c:pt>
                <c:pt idx="10">
                  <c:v>1554.1104377217805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8A23-492C-BE77-DB515B7FC0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73442944"/>
        <c:axId val="389613856"/>
      </c:scatterChart>
      <c:valAx>
        <c:axId val="27344294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time [h]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89613856"/>
        <c:crosses val="autoZero"/>
        <c:crossBetween val="midCat"/>
      </c:valAx>
      <c:valAx>
        <c:axId val="3896138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TOF [1/h]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73442944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15386743230865219"/>
          <c:y val="0.13346093510628468"/>
          <c:w val="0.17749237837201087"/>
          <c:h val="0.18132532752355923"/>
        </c:manualLayout>
      </c:layout>
      <c:overlay val="0"/>
    </c:legend>
    <c:plotVisOnly val="1"/>
    <c:dispBlanksAs val="gap"/>
    <c:showDLblsOverMax val="0"/>
    <c:extLst/>
  </c:chart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free UPO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smoothMarker"/>
        <c:varyColors val="0"/>
        <c:ser>
          <c:idx val="1"/>
          <c:order val="0"/>
          <c:xVal>
            <c:numRef>
              <c:f>'04112020'!$M$5:$M$16</c:f>
              <c:numCache>
                <c:formatCode>General</c:formatCode>
                <c:ptCount val="12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18</c:v>
                </c:pt>
                <c:pt idx="8">
                  <c:v>20</c:v>
                </c:pt>
                <c:pt idx="9">
                  <c:v>22</c:v>
                </c:pt>
                <c:pt idx="10">
                  <c:v>24</c:v>
                </c:pt>
                <c:pt idx="11">
                  <c:v>44</c:v>
                </c:pt>
              </c:numCache>
            </c:numRef>
          </c:xVal>
          <c:yVal>
            <c:numRef>
              <c:f>'04112020'!$Q$5:$Q$16</c:f>
              <c:numCache>
                <c:formatCode>General</c:formatCode>
                <c:ptCount val="12"/>
                <c:pt idx="0">
                  <c:v>0</c:v>
                </c:pt>
                <c:pt idx="1">
                  <c:v>3075.2436200583033</c:v>
                </c:pt>
                <c:pt idx="2">
                  <c:v>3092.2434004520496</c:v>
                </c:pt>
                <c:pt idx="3">
                  <c:v>5081.5139459964694</c:v>
                </c:pt>
                <c:pt idx="4">
                  <c:v>2445.5750761941308</c:v>
                </c:pt>
                <c:pt idx="5">
                  <c:v>3202.7919477631726</c:v>
                </c:pt>
                <c:pt idx="6">
                  <c:v>3217.6062641528183</c:v>
                </c:pt>
                <c:pt idx="7">
                  <c:v>2075.9370536840793</c:v>
                </c:pt>
                <c:pt idx="8">
                  <c:v>13.643738200895836</c:v>
                </c:pt>
                <c:pt idx="9">
                  <c:v>194.93724580183112</c:v>
                </c:pt>
                <c:pt idx="10">
                  <c:v>506.56227958362751</c:v>
                </c:pt>
                <c:pt idx="11">
                  <c:v>219.61657392360047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67D8-4CA3-9B96-2F03C65BD77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73442944"/>
        <c:axId val="389613856"/>
      </c:scatterChart>
      <c:valAx>
        <c:axId val="27344294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time [h]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89613856"/>
        <c:crosses val="autoZero"/>
        <c:crossBetween val="midCat"/>
      </c:valAx>
      <c:valAx>
        <c:axId val="3896138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TOF [1/h]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73442944"/>
        <c:crosses val="autoZero"/>
        <c:crossBetween val="midCat"/>
      </c:valAx>
    </c:plotArea>
    <c:plotVisOnly val="1"/>
    <c:dispBlanksAs val="gap"/>
    <c:showDLblsOverMax val="0"/>
    <c:extLst/>
  </c:chart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0.23577353941800563"/>
                  <c:y val="-0.19971412209983805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'inhibition styreneoxide'!$N$7:$N$11</c:f>
              <c:numCache>
                <c:formatCode>General</c:formatCode>
                <c:ptCount val="5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</c:numCache>
            </c:numRef>
          </c:xVal>
          <c:yVal>
            <c:numRef>
              <c:f>'inhibition styreneoxide'!$O$7:$O$11</c:f>
              <c:numCache>
                <c:formatCode>0.00</c:formatCode>
                <c:ptCount val="5"/>
                <c:pt idx="0" formatCode="General">
                  <c:v>0</c:v>
                </c:pt>
                <c:pt idx="1">
                  <c:v>3.6018041237113403</c:v>
                </c:pt>
                <c:pt idx="2">
                  <c:v>7.0846390749945973</c:v>
                </c:pt>
                <c:pt idx="3">
                  <c:v>10.933682952734996</c:v>
                </c:pt>
                <c:pt idx="4">
                  <c:v>15.236236485777265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DA75-47EE-8F58-4307359781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66634032"/>
        <c:axId val="326407168"/>
      </c:scatterChart>
      <c:valAx>
        <c:axId val="96663403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26407168"/>
        <c:crosses val="autoZero"/>
        <c:crossBetween val="midCat"/>
      </c:valAx>
      <c:valAx>
        <c:axId val="3264071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6663403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0.23577353941800563"/>
                  <c:y val="-0.19971412209983805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'inhibition styreneoxide'!$N$14:$N$18</c:f>
              <c:numCache>
                <c:formatCode>General</c:formatCode>
                <c:ptCount val="5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</c:numCache>
            </c:numRef>
          </c:xVal>
          <c:yVal>
            <c:numRef>
              <c:f>'inhibition styreneoxide'!$O$14:$O$18</c:f>
              <c:numCache>
                <c:formatCode>0.00</c:formatCode>
                <c:ptCount val="5"/>
                <c:pt idx="0">
                  <c:v>3.2427210639827462</c:v>
                </c:pt>
                <c:pt idx="1">
                  <c:v>6.2169572553430825</c:v>
                </c:pt>
                <c:pt idx="2">
                  <c:v>9.9311451921035871</c:v>
                </c:pt>
                <c:pt idx="3" formatCode="General">
                  <c:v>14.170473421926912</c:v>
                </c:pt>
                <c:pt idx="4" formatCode="General">
                  <c:v>18.345217062089855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7ADD-40CA-AD63-2D431AD1CBA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66634032"/>
        <c:axId val="326407168"/>
      </c:scatterChart>
      <c:valAx>
        <c:axId val="96663403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26407168"/>
        <c:crosses val="autoZero"/>
        <c:crossBetween val="midCat"/>
      </c:valAx>
      <c:valAx>
        <c:axId val="3264071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6663403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0.23577353941800563"/>
                  <c:y val="-0.19971412209983805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'inhibition styreneoxide'!$N$21:$N$25</c:f>
              <c:numCache>
                <c:formatCode>General</c:formatCode>
                <c:ptCount val="5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</c:numCache>
            </c:numRef>
          </c:xVal>
          <c:yVal>
            <c:numRef>
              <c:f>'inhibition styreneoxide'!$O$21:$O$25</c:f>
              <c:numCache>
                <c:formatCode>0.00</c:formatCode>
                <c:ptCount val="5"/>
                <c:pt idx="0">
                  <c:v>11.669662831575584</c:v>
                </c:pt>
                <c:pt idx="1">
                  <c:v>14.550202156334231</c:v>
                </c:pt>
                <c:pt idx="2">
                  <c:v>18.476076176408526</c:v>
                </c:pt>
                <c:pt idx="3">
                  <c:v>22.602861319966578</c:v>
                </c:pt>
                <c:pt idx="4">
                  <c:v>26.591060337178348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7B16-4E87-8BAA-63EB0891762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66634032"/>
        <c:axId val="326407168"/>
      </c:scatterChart>
      <c:valAx>
        <c:axId val="96663403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26407168"/>
        <c:crosses val="autoZero"/>
        <c:crossBetween val="midCat"/>
      </c:valAx>
      <c:valAx>
        <c:axId val="3264071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6663403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0.23577353941800563"/>
                  <c:y val="-0.19971412209983805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'inhibition styreneoxide'!$N$28:$N$32</c:f>
              <c:numCache>
                <c:formatCode>General</c:formatCode>
                <c:ptCount val="5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</c:numCache>
            </c:numRef>
          </c:xVal>
          <c:yVal>
            <c:numRef>
              <c:f>'inhibition styreneoxide'!$O$28:$O$32</c:f>
              <c:numCache>
                <c:formatCode>0.00</c:formatCode>
                <c:ptCount val="5"/>
                <c:pt idx="0">
                  <c:v>23.221629560915275</c:v>
                </c:pt>
                <c:pt idx="1">
                  <c:v>26.275269541778975</c:v>
                </c:pt>
                <c:pt idx="2">
                  <c:v>29.299012158054715</c:v>
                </c:pt>
                <c:pt idx="3">
                  <c:v>33.984929078014183</c:v>
                </c:pt>
                <c:pt idx="4">
                  <c:v>39.084413607099364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E987-4F4E-B170-FADAE3FEDA9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66634032"/>
        <c:axId val="326407168"/>
      </c:scatterChart>
      <c:valAx>
        <c:axId val="96663403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26407168"/>
        <c:crosses val="autoZero"/>
        <c:crossBetween val="midCat"/>
      </c:valAx>
      <c:valAx>
        <c:axId val="3264071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6663403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0.23577353941800563"/>
                  <c:y val="-0.19971412209983805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'inhibition styreneoxide'!$N$35:$N$39</c:f>
              <c:numCache>
                <c:formatCode>General</c:formatCode>
                <c:ptCount val="5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</c:numCache>
            </c:numRef>
          </c:xVal>
          <c:yVal>
            <c:numRef>
              <c:f>'inhibition styreneoxide'!$O$35:$O$39</c:f>
              <c:numCache>
                <c:formatCode>0.00</c:formatCode>
                <c:ptCount val="5"/>
                <c:pt idx="0" formatCode="General">
                  <c:v>56.777795980777626</c:v>
                </c:pt>
                <c:pt idx="1">
                  <c:v>60.978123564538357</c:v>
                </c:pt>
                <c:pt idx="2">
                  <c:v>64.089608190906162</c:v>
                </c:pt>
                <c:pt idx="3">
                  <c:v>67.948530957636919</c:v>
                </c:pt>
                <c:pt idx="4">
                  <c:v>73.506724066174172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3A7C-40AC-828F-B78DB2C1B57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66634032"/>
        <c:axId val="326407168"/>
      </c:scatterChart>
      <c:valAx>
        <c:axId val="96663403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26407168"/>
        <c:crosses val="autoZero"/>
        <c:crossBetween val="midCat"/>
      </c:valAx>
      <c:valAx>
        <c:axId val="3264071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6663403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0.23577353941800563"/>
                  <c:y val="-0.19971412209983805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'inhibition styreneoxide'!$N$7:$N$11</c:f>
              <c:numCache>
                <c:formatCode>General</c:formatCode>
                <c:ptCount val="5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</c:numCache>
            </c:numRef>
          </c:xVal>
          <c:yVal>
            <c:numRef>
              <c:f>'inhibition styreneoxide'!$AA$7:$AA$11</c:f>
              <c:numCache>
                <c:formatCode>0.00</c:formatCode>
                <c:ptCount val="5"/>
                <c:pt idx="0" formatCode="General">
                  <c:v>0</c:v>
                </c:pt>
                <c:pt idx="1">
                  <c:v>3.0567569667460894</c:v>
                </c:pt>
                <c:pt idx="2">
                  <c:v>6.6819286236806352</c:v>
                </c:pt>
                <c:pt idx="3">
                  <c:v>10.731369262506446</c:v>
                </c:pt>
                <c:pt idx="4">
                  <c:v>14.961066887487981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46D9-4B28-B670-B3894E318E2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66634032"/>
        <c:axId val="326407168"/>
      </c:scatterChart>
      <c:valAx>
        <c:axId val="96663403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26407168"/>
        <c:crosses val="autoZero"/>
        <c:crossBetween val="midCat"/>
      </c:valAx>
      <c:valAx>
        <c:axId val="3264071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6663403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0.23577353941800563"/>
                  <c:y val="-0.19971412209983805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'inhibition styreneoxide'!$N$14:$N$18</c:f>
              <c:numCache>
                <c:formatCode>General</c:formatCode>
                <c:ptCount val="5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</c:numCache>
            </c:numRef>
          </c:xVal>
          <c:yVal>
            <c:numRef>
              <c:f>'inhibition styreneoxide'!$AA$14:$AA$18</c:f>
              <c:numCache>
                <c:formatCode>0.00</c:formatCode>
                <c:ptCount val="5"/>
                <c:pt idx="0">
                  <c:v>3.1321951857666148</c:v>
                </c:pt>
                <c:pt idx="1">
                  <c:v>6.146239077797663</c:v>
                </c:pt>
                <c:pt idx="2">
                  <c:v>9.6048788982960023</c:v>
                </c:pt>
                <c:pt idx="3" formatCode="General">
                  <c:v>13.969539318948771</c:v>
                </c:pt>
                <c:pt idx="4" formatCode="General">
                  <c:v>18.292525773195877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BD62-4B49-81CF-7BD958F8DD4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66634032"/>
        <c:axId val="326407168"/>
      </c:scatterChart>
      <c:valAx>
        <c:axId val="96663403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26407168"/>
        <c:crosses val="autoZero"/>
        <c:crossBetween val="midCat"/>
      </c:valAx>
      <c:valAx>
        <c:axId val="3264071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6663403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0.23577353941800563"/>
                  <c:y val="-0.19971412209983805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'inhibition styreneoxide'!$N$21:$N$25</c:f>
              <c:numCache>
                <c:formatCode>General</c:formatCode>
                <c:ptCount val="5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</c:numCache>
            </c:numRef>
          </c:xVal>
          <c:yVal>
            <c:numRef>
              <c:f>'inhibition styreneoxide'!$AA$21:$AA$25</c:f>
              <c:numCache>
                <c:formatCode>0.00</c:formatCode>
                <c:ptCount val="5"/>
                <c:pt idx="0">
                  <c:v>11.320428773919208</c:v>
                </c:pt>
                <c:pt idx="1">
                  <c:v>14.082608255766898</c:v>
                </c:pt>
                <c:pt idx="2">
                  <c:v>17.791265382557516</c:v>
                </c:pt>
                <c:pt idx="3">
                  <c:v>21.856737012987015</c:v>
                </c:pt>
                <c:pt idx="4">
                  <c:v>26.012102734663713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B423-4384-B148-55EA2DD83CB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66634032"/>
        <c:axId val="326407168"/>
      </c:scatterChart>
      <c:valAx>
        <c:axId val="96663403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26407168"/>
        <c:crosses val="autoZero"/>
        <c:crossBetween val="midCat"/>
      </c:valAx>
      <c:valAx>
        <c:axId val="3264071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6663403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0.23577353941800563"/>
                  <c:y val="-0.19971412209983805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'inhibition styreneoxide'!$N$28:$N$32</c:f>
              <c:numCache>
                <c:formatCode>General</c:formatCode>
                <c:ptCount val="5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</c:numCache>
            </c:numRef>
          </c:xVal>
          <c:yVal>
            <c:numRef>
              <c:f>'inhibition styreneoxide'!$AA$28:$AA$32</c:f>
              <c:numCache>
                <c:formatCode>0.00</c:formatCode>
                <c:ptCount val="5"/>
                <c:pt idx="0">
                  <c:v>23.158068783068781</c:v>
                </c:pt>
                <c:pt idx="1">
                  <c:v>25.892119244391974</c:v>
                </c:pt>
                <c:pt idx="2">
                  <c:v>29.919930013890376</c:v>
                </c:pt>
                <c:pt idx="3">
                  <c:v>33.5287827252113</c:v>
                </c:pt>
                <c:pt idx="4">
                  <c:v>38.667212336299109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1F6B-4472-9136-043F648777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66634032"/>
        <c:axId val="326407168"/>
      </c:scatterChart>
      <c:valAx>
        <c:axId val="96663403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26407168"/>
        <c:crosses val="autoZero"/>
        <c:crossBetween val="midCat"/>
      </c:valAx>
      <c:valAx>
        <c:axId val="3264071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6663403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0.23577353941800563"/>
                  <c:y val="-0.19971412209983805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'inhibition styreneoxide'!$N$35:$N$39</c:f>
              <c:numCache>
                <c:formatCode>General</c:formatCode>
                <c:ptCount val="5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</c:numCache>
            </c:numRef>
          </c:xVal>
          <c:yVal>
            <c:numRef>
              <c:f>'inhibition styreneoxide'!$AA$35:$AA$39</c:f>
              <c:numCache>
                <c:formatCode>0.00</c:formatCode>
                <c:ptCount val="5"/>
                <c:pt idx="0" formatCode="General">
                  <c:v>55.590979888512408</c:v>
                </c:pt>
                <c:pt idx="1">
                  <c:v>58.949514991181672</c:v>
                </c:pt>
                <c:pt idx="2">
                  <c:v>62.301041554526869</c:v>
                </c:pt>
                <c:pt idx="3">
                  <c:v>65.550898931000972</c:v>
                </c:pt>
                <c:pt idx="4">
                  <c:v>70.911920695620509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A125-432B-B696-CB1BE95D99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66634032"/>
        <c:axId val="326407168"/>
      </c:scatterChart>
      <c:valAx>
        <c:axId val="96663403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26407168"/>
        <c:crosses val="autoZero"/>
        <c:crossBetween val="midCat"/>
      </c:valAx>
      <c:valAx>
        <c:axId val="3264071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6663403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beads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'04112020'!$M$22:$M$33</c:f>
              <c:numCache>
                <c:formatCode>General</c:formatCode>
                <c:ptCount val="12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18</c:v>
                </c:pt>
                <c:pt idx="8">
                  <c:v>20</c:v>
                </c:pt>
                <c:pt idx="9">
                  <c:v>22</c:v>
                </c:pt>
                <c:pt idx="10">
                  <c:v>24</c:v>
                </c:pt>
                <c:pt idx="11">
                  <c:v>44</c:v>
                </c:pt>
              </c:numCache>
            </c:numRef>
          </c:xVal>
          <c:yVal>
            <c:numRef>
              <c:f>'04112020'!$Q$22:$Q$33</c:f>
              <c:numCache>
                <c:formatCode>General</c:formatCode>
                <c:ptCount val="12"/>
                <c:pt idx="0">
                  <c:v>0</c:v>
                </c:pt>
                <c:pt idx="1">
                  <c:v>21164.401298586465</c:v>
                </c:pt>
                <c:pt idx="2">
                  <c:v>4609.0240432744904</c:v>
                </c:pt>
                <c:pt idx="3">
                  <c:v>4015.4610443845195</c:v>
                </c:pt>
                <c:pt idx="4">
                  <c:v>6916.6963335920555</c:v>
                </c:pt>
                <c:pt idx="5">
                  <c:v>13560.760047379519</c:v>
                </c:pt>
                <c:pt idx="6">
                  <c:v>15845.007978914646</c:v>
                </c:pt>
                <c:pt idx="7">
                  <c:v>14068.672383694398</c:v>
                </c:pt>
                <c:pt idx="8">
                  <c:v>2118.7877144213285</c:v>
                </c:pt>
                <c:pt idx="9">
                  <c:v>1739.2003388735093</c:v>
                </c:pt>
                <c:pt idx="10">
                  <c:v>4874.1960681070896</c:v>
                </c:pt>
                <c:pt idx="11">
                  <c:v>785.6373350043001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7D77-4C14-AF75-A6172B635B9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73442944"/>
        <c:axId val="389613856"/>
      </c:scatterChart>
      <c:valAx>
        <c:axId val="27344294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time [h]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89613856"/>
        <c:crosses val="autoZero"/>
        <c:crossBetween val="midCat"/>
      </c:valAx>
      <c:valAx>
        <c:axId val="3896138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TOF</a:t>
                </a:r>
                <a:r>
                  <a:rPr lang="en-GB" baseline="0"/>
                  <a:t> [1/h]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7344294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'inhibition styreneoxide'!$AL$7:$AL$11</c:f>
              <c:numCache>
                <c:formatCode>General</c:formatCode>
                <c:ptCount val="5"/>
                <c:pt idx="0">
                  <c:v>0</c:v>
                </c:pt>
                <c:pt idx="1">
                  <c:v>2</c:v>
                </c:pt>
                <c:pt idx="2">
                  <c:v>10</c:v>
                </c:pt>
                <c:pt idx="3">
                  <c:v>20</c:v>
                </c:pt>
                <c:pt idx="4">
                  <c:v>50</c:v>
                </c:pt>
              </c:numCache>
            </c:numRef>
          </c:xVal>
          <c:yVal>
            <c:numRef>
              <c:f>'inhibition styreneoxide'!$AM$7:$AM$11</c:f>
              <c:numCache>
                <c:formatCode>General</c:formatCode>
                <c:ptCount val="5"/>
                <c:pt idx="0">
                  <c:v>3090.2049180327867</c:v>
                </c:pt>
                <c:pt idx="1">
                  <c:v>3127.1516393442625</c:v>
                </c:pt>
                <c:pt idx="2">
                  <c:v>3075.9426229508199</c:v>
                </c:pt>
                <c:pt idx="3">
                  <c:v>3200.4098360655739</c:v>
                </c:pt>
                <c:pt idx="4">
                  <c:v>3183.2786885245901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B343-4AC2-8E42-EAFF6DD7DE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11710992"/>
        <c:axId val="1926937248"/>
      </c:scatterChart>
      <c:valAx>
        <c:axId val="171171099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26937248"/>
        <c:crosses val="autoZero"/>
        <c:crossBetween val="midCat"/>
      </c:valAx>
      <c:valAx>
        <c:axId val="1926937248"/>
        <c:scaling>
          <c:orientation val="minMax"/>
          <c:max val="50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1171099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TTN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14497987210750429"/>
          <c:y val="0.12452988312179286"/>
          <c:w val="0.81042661195057841"/>
          <c:h val="0.72638576417620826"/>
        </c:manualLayout>
      </c:layout>
      <c:scatterChart>
        <c:scatterStyle val="smoothMarker"/>
        <c:varyColors val="0"/>
        <c:ser>
          <c:idx val="0"/>
          <c:order val="0"/>
          <c:tx>
            <c:v>beads</c:v>
          </c:tx>
          <c:xVal>
            <c:numRef>
              <c:f>'04112020'!$M$22:$M$33</c:f>
              <c:numCache>
                <c:formatCode>General</c:formatCode>
                <c:ptCount val="12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18</c:v>
                </c:pt>
                <c:pt idx="8">
                  <c:v>20</c:v>
                </c:pt>
                <c:pt idx="9">
                  <c:v>22</c:v>
                </c:pt>
                <c:pt idx="10">
                  <c:v>24</c:v>
                </c:pt>
                <c:pt idx="11">
                  <c:v>44</c:v>
                </c:pt>
              </c:numCache>
            </c:numRef>
          </c:xVal>
          <c:yVal>
            <c:numRef>
              <c:f>'04112020'!$P$22:$P$33</c:f>
              <c:numCache>
                <c:formatCode>0.00</c:formatCode>
                <c:ptCount val="12"/>
                <c:pt idx="0">
                  <c:v>0</c:v>
                </c:pt>
                <c:pt idx="1">
                  <c:v>11519.863997964783</c:v>
                </c:pt>
                <c:pt idx="2">
                  <c:v>14028.573287342038</c:v>
                </c:pt>
                <c:pt idx="3">
                  <c:v>16214.203982386776</c:v>
                </c:pt>
                <c:pt idx="4">
                  <c:v>19978.988062696375</c:v>
                </c:pt>
                <c:pt idx="5">
                  <c:v>27360.161253042188</c:v>
                </c:pt>
                <c:pt idx="6">
                  <c:v>35984.659266881805</c:v>
                </c:pt>
                <c:pt idx="7">
                  <c:v>127876.24091227811</c:v>
                </c:pt>
                <c:pt idx="8">
                  <c:v>130182.76931025575</c:v>
                </c:pt>
                <c:pt idx="9">
                  <c:v>132076.07600826994</c:v>
                </c:pt>
                <c:pt idx="10">
                  <c:v>137382.16286722198</c:v>
                </c:pt>
                <c:pt idx="11">
                  <c:v>145934.67056473714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263D-4652-B8D7-9F9EE8CD2860}"/>
            </c:ext>
          </c:extLst>
        </c:ser>
        <c:ser>
          <c:idx val="1"/>
          <c:order val="1"/>
          <c:tx>
            <c:v>free UPO</c:v>
          </c:tx>
          <c:marker>
            <c:symbol val="circle"/>
            <c:size val="5"/>
          </c:marker>
          <c:xVal>
            <c:numRef>
              <c:f>'04112020'!$M$5:$M$16</c:f>
              <c:numCache>
                <c:formatCode>General</c:formatCode>
                <c:ptCount val="12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18</c:v>
                </c:pt>
                <c:pt idx="8">
                  <c:v>20</c:v>
                </c:pt>
                <c:pt idx="9">
                  <c:v>22</c:v>
                </c:pt>
                <c:pt idx="10">
                  <c:v>24</c:v>
                </c:pt>
                <c:pt idx="11">
                  <c:v>44</c:v>
                </c:pt>
              </c:numCache>
            </c:numRef>
          </c:xVal>
          <c:yVal>
            <c:numRef>
              <c:f>'04112020'!$P$5:$P$16</c:f>
              <c:numCache>
                <c:formatCode>0.00</c:formatCode>
                <c:ptCount val="12"/>
                <c:pt idx="0">
                  <c:v>0</c:v>
                </c:pt>
                <c:pt idx="1">
                  <c:v>3075.2436200583033</c:v>
                </c:pt>
                <c:pt idx="2">
                  <c:v>6167.4870205103525</c:v>
                </c:pt>
                <c:pt idx="3">
                  <c:v>11249.000966506823</c:v>
                </c:pt>
                <c:pt idx="4">
                  <c:v>13694.576042700954</c:v>
                </c:pt>
                <c:pt idx="5">
                  <c:v>16897.367990464125</c:v>
                </c:pt>
                <c:pt idx="6">
                  <c:v>20114.974254616944</c:v>
                </c:pt>
                <c:pt idx="7">
                  <c:v>45026.2188988259</c:v>
                </c:pt>
                <c:pt idx="8">
                  <c:v>45053.506375227691</c:v>
                </c:pt>
                <c:pt idx="9">
                  <c:v>45443.38086683135</c:v>
                </c:pt>
                <c:pt idx="10">
                  <c:v>46456.505425998606</c:v>
                </c:pt>
                <c:pt idx="11">
                  <c:v>50848.83690447062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263D-4652-B8D7-9F9EE8CD286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73442944"/>
        <c:axId val="389613856"/>
      </c:scatterChart>
      <c:valAx>
        <c:axId val="27344294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time [h]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89613856"/>
        <c:crosses val="autoZero"/>
        <c:crossBetween val="midCat"/>
      </c:valAx>
      <c:valAx>
        <c:axId val="3896138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TTN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73442944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77607400065310794"/>
          <c:y val="0.15404949544886146"/>
          <c:w val="0.15978992478707463"/>
          <c:h val="0.11997200950882643"/>
        </c:manualLayout>
      </c:layout>
      <c:overlay val="0"/>
    </c:legend>
    <c:plotVisOnly val="1"/>
    <c:dispBlanksAs val="gap"/>
    <c:showDLblsOverMax val="0"/>
    <c:extLst/>
  </c:chart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free UPO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smoothMarker"/>
        <c:varyColors val="0"/>
        <c:ser>
          <c:idx val="1"/>
          <c:order val="0"/>
          <c:xVal>
            <c:numRef>
              <c:f>'04112020'!$M$5:$M$16</c:f>
              <c:numCache>
                <c:formatCode>General</c:formatCode>
                <c:ptCount val="12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18</c:v>
                </c:pt>
                <c:pt idx="8">
                  <c:v>20</c:v>
                </c:pt>
                <c:pt idx="9">
                  <c:v>22</c:v>
                </c:pt>
                <c:pt idx="10">
                  <c:v>24</c:v>
                </c:pt>
                <c:pt idx="11">
                  <c:v>44</c:v>
                </c:pt>
              </c:numCache>
            </c:numRef>
          </c:xVal>
          <c:yVal>
            <c:numRef>
              <c:f>'04112020'!$R$5:$R$16</c:f>
              <c:numCache>
                <c:formatCode>General</c:formatCode>
                <c:ptCount val="12"/>
                <c:pt idx="0">
                  <c:v>0</c:v>
                </c:pt>
                <c:pt idx="1">
                  <c:v>7.5035944329422595</c:v>
                </c:pt>
                <c:pt idx="2">
                  <c:v>7.5450738971030002</c:v>
                </c:pt>
                <c:pt idx="3">
                  <c:v>12.398894028231386</c:v>
                </c:pt>
                <c:pt idx="4">
                  <c:v>5.9672031859136787</c:v>
                </c:pt>
                <c:pt idx="5">
                  <c:v>7.8148123525421411</c:v>
                </c:pt>
                <c:pt idx="6">
                  <c:v>7.8509592845328768</c:v>
                </c:pt>
                <c:pt idx="7">
                  <c:v>5.0652864109891533</c:v>
                </c:pt>
                <c:pt idx="8">
                  <c:v>3.3290721210185836E-2</c:v>
                </c:pt>
                <c:pt idx="9">
                  <c:v>0.47564687975646791</c:v>
                </c:pt>
                <c:pt idx="10">
                  <c:v>1.2360119621840511</c:v>
                </c:pt>
                <c:pt idx="11">
                  <c:v>0.53586444037358516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9074-4E0D-9993-BE13CDB57DA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73442944"/>
        <c:axId val="389613856"/>
      </c:scatterChart>
      <c:valAx>
        <c:axId val="27344294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time [h]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89613856"/>
        <c:crosses val="autoZero"/>
        <c:crossBetween val="midCat"/>
      </c:valAx>
      <c:valAx>
        <c:axId val="3896138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activity [mM/h]]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73442944"/>
        <c:crosses val="autoZero"/>
        <c:crossBetween val="midCat"/>
      </c:valAx>
    </c:plotArea>
    <c:plotVisOnly val="1"/>
    <c:dispBlanksAs val="gap"/>
    <c:showDLblsOverMax val="0"/>
    <c:extLst/>
  </c:chart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beads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'04112020'!$M$22:$M$33</c:f>
              <c:numCache>
                <c:formatCode>General</c:formatCode>
                <c:ptCount val="12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18</c:v>
                </c:pt>
                <c:pt idx="8">
                  <c:v>20</c:v>
                </c:pt>
                <c:pt idx="9">
                  <c:v>22</c:v>
                </c:pt>
                <c:pt idx="10">
                  <c:v>24</c:v>
                </c:pt>
                <c:pt idx="11">
                  <c:v>44</c:v>
                </c:pt>
              </c:numCache>
            </c:numRef>
          </c:xVal>
          <c:yVal>
            <c:numRef>
              <c:f>'04112020'!$R$22:$R$33</c:f>
              <c:numCache>
                <c:formatCode>General</c:formatCode>
                <c:ptCount val="12"/>
                <c:pt idx="0">
                  <c:v>0</c:v>
                </c:pt>
                <c:pt idx="1">
                  <c:v>9.1006925583921792</c:v>
                </c:pt>
                <c:pt idx="2">
                  <c:v>1.9818803386080308</c:v>
                </c:pt>
                <c:pt idx="3">
                  <c:v>1.7266482490853434</c:v>
                </c:pt>
                <c:pt idx="4">
                  <c:v>2.9741794234445837</c:v>
                </c:pt>
                <c:pt idx="5">
                  <c:v>5.8311268203731927</c:v>
                </c:pt>
                <c:pt idx="6">
                  <c:v>6.8133534309332973</c:v>
                </c:pt>
                <c:pt idx="7">
                  <c:v>6.0495291249885907</c:v>
                </c:pt>
                <c:pt idx="8">
                  <c:v>0.91107871720117117</c:v>
                </c:pt>
                <c:pt idx="9">
                  <c:v>0.74785614571560899</c:v>
                </c:pt>
                <c:pt idx="10">
                  <c:v>2.0959043092860483</c:v>
                </c:pt>
                <c:pt idx="11">
                  <c:v>0.33782405405184901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7C7C-4698-A094-E72A7DF3E8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73442944"/>
        <c:axId val="389613856"/>
      </c:scatterChart>
      <c:valAx>
        <c:axId val="27344294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time [h]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89613856"/>
        <c:crosses val="autoZero"/>
        <c:crossBetween val="midCat"/>
      </c:valAx>
      <c:valAx>
        <c:axId val="3896138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activity [mM/h]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7344294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free UPO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smoothMarker"/>
        <c:varyColors val="0"/>
        <c:ser>
          <c:idx val="1"/>
          <c:order val="2"/>
          <c:tx>
            <c:v>styrene oxide</c:v>
          </c:tx>
          <c:xVal>
            <c:numRef>
              <c:f>'06112020'!$M$5:$M$16</c:f>
              <c:numCache>
                <c:formatCode>General</c:formatCode>
                <c:ptCount val="12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18</c:v>
                </c:pt>
                <c:pt idx="6">
                  <c:v>20</c:v>
                </c:pt>
                <c:pt idx="7">
                  <c:v>22</c:v>
                </c:pt>
                <c:pt idx="8">
                  <c:v>24</c:v>
                </c:pt>
                <c:pt idx="9">
                  <c:v>46</c:v>
                </c:pt>
                <c:pt idx="10">
                  <c:v>48</c:v>
                </c:pt>
              </c:numCache>
            </c:numRef>
          </c:xVal>
          <c:yVal>
            <c:numRef>
              <c:f>'06112020'!$O$5:$O$16</c:f>
              <c:numCache>
                <c:formatCode>0.00</c:formatCode>
                <c:ptCount val="12"/>
                <c:pt idx="0" formatCode="General">
                  <c:v>0</c:v>
                </c:pt>
                <c:pt idx="1">
                  <c:v>30.869885916601103</c:v>
                </c:pt>
                <c:pt idx="2">
                  <c:v>42.201538419499407</c:v>
                </c:pt>
                <c:pt idx="3">
                  <c:v>51.105382293762581</c:v>
                </c:pt>
                <c:pt idx="4">
                  <c:v>55.924865229110516</c:v>
                </c:pt>
                <c:pt idx="5">
                  <c:v>87.209101382488498</c:v>
                </c:pt>
                <c:pt idx="6">
                  <c:v>84.777890639538498</c:v>
                </c:pt>
                <c:pt idx="7">
                  <c:v>86.36904761904762</c:v>
                </c:pt>
                <c:pt idx="8">
                  <c:v>84.172762478485367</c:v>
                </c:pt>
                <c:pt idx="9">
                  <c:v>90.903441163699512</c:v>
                </c:pt>
                <c:pt idx="10">
                  <c:v>91.16501721170394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49E5-4561-ADEA-87C1C9467FEF}"/>
            </c:ext>
          </c:extLst>
        </c:ser>
        <c:ser>
          <c:idx val="0"/>
          <c:order val="3"/>
          <c:tx>
            <c:v>tBuOOH</c:v>
          </c:tx>
          <c:spPr>
            <a:ln>
              <a:solidFill>
                <a:schemeClr val="bg1">
                  <a:lumMod val="85000"/>
                  <a:alpha val="99000"/>
                </a:schemeClr>
              </a:solidFill>
            </a:ln>
          </c:spPr>
          <c:marker>
            <c:symbol val="circle"/>
            <c:size val="5"/>
            <c:spPr>
              <a:solidFill>
                <a:schemeClr val="bg1">
                  <a:lumMod val="85000"/>
                </a:schemeClr>
              </a:solidFill>
              <a:ln w="9525">
                <a:solidFill>
                  <a:schemeClr val="bg1">
                    <a:lumMod val="85000"/>
                  </a:schemeClr>
                </a:solidFill>
              </a:ln>
              <a:effectLst/>
            </c:spPr>
          </c:marker>
          <c:xVal>
            <c:numRef>
              <c:f>'04112020'!$M$5:$M$16</c:f>
              <c:numCache>
                <c:formatCode>General</c:formatCode>
                <c:ptCount val="12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18</c:v>
                </c:pt>
                <c:pt idx="8">
                  <c:v>20</c:v>
                </c:pt>
                <c:pt idx="9">
                  <c:v>22</c:v>
                </c:pt>
                <c:pt idx="10">
                  <c:v>24</c:v>
                </c:pt>
                <c:pt idx="11">
                  <c:v>44</c:v>
                </c:pt>
              </c:numCache>
            </c:numRef>
          </c:xVal>
          <c:yVal>
            <c:numRef>
              <c:f>'04112020'!$N$5:$N$16</c:f>
              <c:numCache>
                <c:formatCode>General</c:formatCode>
                <c:ptCount val="12"/>
                <c:pt idx="0">
                  <c:v>1</c:v>
                </c:pt>
                <c:pt idx="1">
                  <c:v>9.56</c:v>
                </c:pt>
                <c:pt idx="2">
                  <c:v>18.12</c:v>
                </c:pt>
                <c:pt idx="3">
                  <c:v>26.68</c:v>
                </c:pt>
                <c:pt idx="4">
                  <c:v>35.24</c:v>
                </c:pt>
                <c:pt idx="5">
                  <c:v>43.800000000000004</c:v>
                </c:pt>
                <c:pt idx="6">
                  <c:v>52.36</c:v>
                </c:pt>
                <c:pt idx="7">
                  <c:v>155.08000000000001</c:v>
                </c:pt>
                <c:pt idx="8">
                  <c:v>172.20000000000002</c:v>
                </c:pt>
                <c:pt idx="9">
                  <c:v>189.32000000000002</c:v>
                </c:pt>
                <c:pt idx="10">
                  <c:v>206.44</c:v>
                </c:pt>
                <c:pt idx="11">
                  <c:v>377.64000000000004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49E5-4561-ADEA-87C1C9467F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73442944"/>
        <c:axId val="389613856"/>
        <c:extLst>
          <c:ext xmlns:c15="http://schemas.microsoft.com/office/drawing/2012/chart" uri="{02D57815-91ED-43cb-92C2-25804820EDAC}">
            <c15:filteredScatterSeries>
              <c15:ser>
                <c:idx val="2"/>
                <c:order val="0"/>
                <c:xVal>
                  <c:numRef>
                    <c:extLst>
                      <c:ext uri="{02D57815-91ED-43cb-92C2-25804820EDAC}">
                        <c15:formulaRef>
                          <c15:sqref>'04112020'!$M$5:$M$15</c15:sqref>
                        </c15:formulaRef>
                      </c:ext>
                    </c:extLst>
                    <c:numCache>
                      <c:formatCode>General</c:formatCode>
                      <c:ptCount val="11"/>
                      <c:pt idx="0">
                        <c:v>0</c:v>
                      </c:pt>
                      <c:pt idx="1">
                        <c:v>1</c:v>
                      </c:pt>
                      <c:pt idx="2">
                        <c:v>2</c:v>
                      </c:pt>
                      <c:pt idx="3">
                        <c:v>3</c:v>
                      </c:pt>
                      <c:pt idx="4">
                        <c:v>4</c:v>
                      </c:pt>
                      <c:pt idx="5">
                        <c:v>5</c:v>
                      </c:pt>
                      <c:pt idx="6">
                        <c:v>6</c:v>
                      </c:pt>
                      <c:pt idx="7">
                        <c:v>18</c:v>
                      </c:pt>
                      <c:pt idx="8">
                        <c:v>20</c:v>
                      </c:pt>
                      <c:pt idx="9">
                        <c:v>22</c:v>
                      </c:pt>
                      <c:pt idx="10">
                        <c:v>24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'04112020'!$O$5:$O$15</c15:sqref>
                        </c15:formulaRef>
                      </c:ext>
                    </c:extLst>
                    <c:numCache>
                      <c:formatCode>0.00</c:formatCode>
                      <c:ptCount val="11"/>
                      <c:pt idx="0" formatCode="General">
                        <c:v>0</c:v>
                      </c:pt>
                      <c:pt idx="1">
                        <c:v>7.5035944329422595</c:v>
                      </c:pt>
                      <c:pt idx="2">
                        <c:v>15.04866833004526</c:v>
                      </c:pt>
                      <c:pt idx="3">
                        <c:v>27.447562358276645</c:v>
                      </c:pt>
                      <c:pt idx="4">
                        <c:v>33.414765544190324</c:v>
                      </c:pt>
                      <c:pt idx="5">
                        <c:v>41.229577896732465</c:v>
                      </c:pt>
                      <c:pt idx="6">
                        <c:v>49.080537181265342</c:v>
                      </c:pt>
                      <c:pt idx="7">
                        <c:v>109.86397411313519</c:v>
                      </c:pt>
                      <c:pt idx="8">
                        <c:v>109.93055555555556</c:v>
                      </c:pt>
                      <c:pt idx="9">
                        <c:v>110.88184931506849</c:v>
                      </c:pt>
                      <c:pt idx="10">
                        <c:v>113.3538732394366</c:v>
                      </c:pt>
                    </c:numCache>
                  </c:numRef>
                </c:yVal>
                <c:smooth val="1"/>
                <c:extLst>
                  <c:ext xmlns:c16="http://schemas.microsoft.com/office/drawing/2014/chart" uri="{C3380CC4-5D6E-409C-BE32-E72D297353CC}">
                    <c16:uniqueId val="{00000002-49E5-4561-ADEA-87C1C9467FEF}"/>
                  </c:ext>
                </c:extLst>
              </c15:ser>
            </c15:filteredScatterSeries>
            <c15:filteredScatterSeries>
              <c15:ser>
                <c:idx val="3"/>
                <c:order val="1"/>
                <c:spPr>
                  <a:ln>
                    <a:solidFill>
                      <a:schemeClr val="accent2"/>
                    </a:solidFill>
                  </a:ln>
                </c:spP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'04112020'!$M$5:$M$15</c15:sqref>
                        </c15:formulaRef>
                      </c:ext>
                    </c:extLst>
                    <c:numCache>
                      <c:formatCode>General</c:formatCode>
                      <c:ptCount val="11"/>
                      <c:pt idx="0">
                        <c:v>0</c:v>
                      </c:pt>
                      <c:pt idx="1">
                        <c:v>1</c:v>
                      </c:pt>
                      <c:pt idx="2">
                        <c:v>2</c:v>
                      </c:pt>
                      <c:pt idx="3">
                        <c:v>3</c:v>
                      </c:pt>
                      <c:pt idx="4">
                        <c:v>4</c:v>
                      </c:pt>
                      <c:pt idx="5">
                        <c:v>5</c:v>
                      </c:pt>
                      <c:pt idx="6">
                        <c:v>6</c:v>
                      </c:pt>
                      <c:pt idx="7">
                        <c:v>18</c:v>
                      </c:pt>
                      <c:pt idx="8">
                        <c:v>20</c:v>
                      </c:pt>
                      <c:pt idx="9">
                        <c:v>22</c:v>
                      </c:pt>
                      <c:pt idx="10">
                        <c:v>24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'04112020'!$O$5:$O$15</c15:sqref>
                        </c15:formulaRef>
                      </c:ext>
                    </c:extLst>
                    <c:numCache>
                      <c:formatCode>0.00</c:formatCode>
                      <c:ptCount val="11"/>
                      <c:pt idx="0" formatCode="General">
                        <c:v>0</c:v>
                      </c:pt>
                      <c:pt idx="1">
                        <c:v>7.5035944329422595</c:v>
                      </c:pt>
                      <c:pt idx="2">
                        <c:v>15.04866833004526</c:v>
                      </c:pt>
                      <c:pt idx="3">
                        <c:v>27.447562358276645</c:v>
                      </c:pt>
                      <c:pt idx="4">
                        <c:v>33.414765544190324</c:v>
                      </c:pt>
                      <c:pt idx="5">
                        <c:v>41.229577896732465</c:v>
                      </c:pt>
                      <c:pt idx="6">
                        <c:v>49.080537181265342</c:v>
                      </c:pt>
                      <c:pt idx="7">
                        <c:v>109.86397411313519</c:v>
                      </c:pt>
                      <c:pt idx="8">
                        <c:v>109.93055555555556</c:v>
                      </c:pt>
                      <c:pt idx="9">
                        <c:v>110.88184931506849</c:v>
                      </c:pt>
                      <c:pt idx="10">
                        <c:v>113.3538732394366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49E5-4561-ADEA-87C1C9467FEF}"/>
                  </c:ext>
                </c:extLst>
              </c15:ser>
            </c15:filteredScatterSeries>
          </c:ext>
        </c:extLst>
      </c:scatterChart>
      <c:valAx>
        <c:axId val="27344294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time [h]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89613856"/>
        <c:crosses val="autoZero"/>
        <c:crossBetween val="midCat"/>
      </c:valAx>
      <c:valAx>
        <c:axId val="3896138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baseline="0"/>
                  <a:t>concentration [mM]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73442944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  <c:extLst/>
  </c:chart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beads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smoothMarker"/>
        <c:varyColors val="0"/>
        <c:ser>
          <c:idx val="4"/>
          <c:order val="0"/>
          <c:tx>
            <c:v>styrene oxide</c:v>
          </c:tx>
          <c:xVal>
            <c:numRef>
              <c:f>'06112020'!$M$22:$M$33</c:f>
              <c:numCache>
                <c:formatCode>General</c:formatCode>
                <c:ptCount val="12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18</c:v>
                </c:pt>
                <c:pt idx="6">
                  <c:v>20</c:v>
                </c:pt>
                <c:pt idx="7">
                  <c:v>22</c:v>
                </c:pt>
                <c:pt idx="8">
                  <c:v>24</c:v>
                </c:pt>
                <c:pt idx="9">
                  <c:v>46</c:v>
                </c:pt>
                <c:pt idx="10">
                  <c:v>48</c:v>
                </c:pt>
              </c:numCache>
            </c:numRef>
          </c:xVal>
          <c:yVal>
            <c:numRef>
              <c:f>'06112020'!$O$22:$O$33</c:f>
              <c:numCache>
                <c:formatCode>0.00</c:formatCode>
                <c:ptCount val="12"/>
                <c:pt idx="0" formatCode="General">
                  <c:v>0</c:v>
                </c:pt>
                <c:pt idx="1">
                  <c:v>4.1420189794294808</c:v>
                </c:pt>
                <c:pt idx="2">
                  <c:v>6.4921349426197068</c:v>
                </c:pt>
                <c:pt idx="3">
                  <c:v>10.575787401574804</c:v>
                </c:pt>
                <c:pt idx="4">
                  <c:v>15.769281064744858</c:v>
                </c:pt>
                <c:pt idx="5">
                  <c:v>54.970699878089334</c:v>
                </c:pt>
                <c:pt idx="6">
                  <c:v>54.986169562130584</c:v>
                </c:pt>
                <c:pt idx="7">
                  <c:v>54.976250601250598</c:v>
                </c:pt>
                <c:pt idx="8">
                  <c:v>56.442669172932334</c:v>
                </c:pt>
                <c:pt idx="9">
                  <c:v>60.099240915878539</c:v>
                </c:pt>
                <c:pt idx="10">
                  <c:v>59.565007037297676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E166-4871-803B-CD753A7518B4}"/>
            </c:ext>
          </c:extLst>
        </c:ser>
        <c:ser>
          <c:idx val="0"/>
          <c:order val="1"/>
          <c:tx>
            <c:v>tBuOOH</c:v>
          </c:tx>
          <c:spPr>
            <a:ln>
              <a:solidFill>
                <a:schemeClr val="bg1">
                  <a:lumMod val="85000"/>
                  <a:alpha val="99000"/>
                </a:schemeClr>
              </a:solidFill>
            </a:ln>
          </c:spPr>
          <c:marker>
            <c:symbol val="circle"/>
            <c:size val="5"/>
            <c:spPr>
              <a:solidFill>
                <a:schemeClr val="bg1">
                  <a:lumMod val="85000"/>
                </a:schemeClr>
              </a:solidFill>
              <a:ln w="9525">
                <a:solidFill>
                  <a:schemeClr val="bg1">
                    <a:lumMod val="85000"/>
                  </a:schemeClr>
                </a:solidFill>
              </a:ln>
              <a:effectLst/>
            </c:spPr>
          </c:marker>
          <c:xVal>
            <c:numRef>
              <c:f>'04112020'!$M$22:$M$33</c:f>
              <c:numCache>
                <c:formatCode>General</c:formatCode>
                <c:ptCount val="12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18</c:v>
                </c:pt>
                <c:pt idx="8">
                  <c:v>20</c:v>
                </c:pt>
                <c:pt idx="9">
                  <c:v>22</c:v>
                </c:pt>
                <c:pt idx="10">
                  <c:v>24</c:v>
                </c:pt>
                <c:pt idx="11">
                  <c:v>44</c:v>
                </c:pt>
              </c:numCache>
            </c:numRef>
          </c:xVal>
          <c:yVal>
            <c:numRef>
              <c:f>'04112020'!$N$22:$N$33</c:f>
              <c:numCache>
                <c:formatCode>General</c:formatCode>
                <c:ptCount val="12"/>
                <c:pt idx="0">
                  <c:v>1</c:v>
                </c:pt>
                <c:pt idx="1">
                  <c:v>9.56</c:v>
                </c:pt>
                <c:pt idx="2">
                  <c:v>18.12</c:v>
                </c:pt>
                <c:pt idx="3">
                  <c:v>26.68</c:v>
                </c:pt>
                <c:pt idx="4">
                  <c:v>35.24</c:v>
                </c:pt>
                <c:pt idx="5">
                  <c:v>43.800000000000004</c:v>
                </c:pt>
                <c:pt idx="6">
                  <c:v>52.36</c:v>
                </c:pt>
                <c:pt idx="7">
                  <c:v>155.08000000000001</c:v>
                </c:pt>
                <c:pt idx="8">
                  <c:v>172.20000000000002</c:v>
                </c:pt>
                <c:pt idx="9">
                  <c:v>189.32000000000002</c:v>
                </c:pt>
                <c:pt idx="10">
                  <c:v>206.44</c:v>
                </c:pt>
                <c:pt idx="11">
                  <c:v>377.64000000000004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E166-4871-803B-CD753A7518B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73442944"/>
        <c:axId val="389613856"/>
      </c:scatterChart>
      <c:valAx>
        <c:axId val="27344294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time [h]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89613856"/>
        <c:crosses val="autoZero"/>
        <c:crossBetween val="midCat"/>
      </c:valAx>
      <c:valAx>
        <c:axId val="3896138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baseline="0"/>
                  <a:t>concentration [mM]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73442944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  <c:extLst/>
  </c:chart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chart" Target="../charts/chart15.xml"/><Relationship Id="rId3" Type="http://schemas.openxmlformats.org/officeDocument/2006/relationships/chart" Target="../charts/chart10.xml"/><Relationship Id="rId7" Type="http://schemas.openxmlformats.org/officeDocument/2006/relationships/chart" Target="../charts/chart14.xml"/><Relationship Id="rId2" Type="http://schemas.openxmlformats.org/officeDocument/2006/relationships/chart" Target="../charts/chart9.xml"/><Relationship Id="rId1" Type="http://schemas.openxmlformats.org/officeDocument/2006/relationships/chart" Target="../charts/chart8.xml"/><Relationship Id="rId6" Type="http://schemas.openxmlformats.org/officeDocument/2006/relationships/chart" Target="../charts/chart13.xml"/><Relationship Id="rId11" Type="http://schemas.openxmlformats.org/officeDocument/2006/relationships/chart" Target="../charts/chart18.xml"/><Relationship Id="rId5" Type="http://schemas.openxmlformats.org/officeDocument/2006/relationships/chart" Target="../charts/chart12.xml"/><Relationship Id="rId10" Type="http://schemas.openxmlformats.org/officeDocument/2006/relationships/chart" Target="../charts/chart17.xml"/><Relationship Id="rId4" Type="http://schemas.openxmlformats.org/officeDocument/2006/relationships/chart" Target="../charts/chart11.xml"/><Relationship Id="rId9" Type="http://schemas.openxmlformats.org/officeDocument/2006/relationships/chart" Target="../charts/chart16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1.xml"/><Relationship Id="rId7" Type="http://schemas.openxmlformats.org/officeDocument/2006/relationships/chart" Target="../charts/chart25.xml"/><Relationship Id="rId2" Type="http://schemas.openxmlformats.org/officeDocument/2006/relationships/chart" Target="../charts/chart20.xml"/><Relationship Id="rId1" Type="http://schemas.openxmlformats.org/officeDocument/2006/relationships/chart" Target="../charts/chart19.xml"/><Relationship Id="rId6" Type="http://schemas.openxmlformats.org/officeDocument/2006/relationships/chart" Target="../charts/chart24.xml"/><Relationship Id="rId5" Type="http://schemas.openxmlformats.org/officeDocument/2006/relationships/chart" Target="../charts/chart23.xml"/><Relationship Id="rId4" Type="http://schemas.openxmlformats.org/officeDocument/2006/relationships/chart" Target="../charts/chart22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8.xml"/><Relationship Id="rId2" Type="http://schemas.openxmlformats.org/officeDocument/2006/relationships/chart" Target="../charts/chart27.xml"/><Relationship Id="rId1" Type="http://schemas.openxmlformats.org/officeDocument/2006/relationships/chart" Target="../charts/chart26.xml"/><Relationship Id="rId4" Type="http://schemas.openxmlformats.org/officeDocument/2006/relationships/chart" Target="../charts/chart29.xml"/></Relationships>
</file>

<file path=xl/drawings/_rels/drawing5.xml.rels><?xml version="1.0" encoding="UTF-8" standalone="yes"?>
<Relationships xmlns="http://schemas.openxmlformats.org/package/2006/relationships"><Relationship Id="rId8" Type="http://schemas.openxmlformats.org/officeDocument/2006/relationships/chart" Target="../charts/chart37.xml"/><Relationship Id="rId3" Type="http://schemas.openxmlformats.org/officeDocument/2006/relationships/chart" Target="../charts/chart32.xml"/><Relationship Id="rId7" Type="http://schemas.openxmlformats.org/officeDocument/2006/relationships/chart" Target="../charts/chart36.xml"/><Relationship Id="rId2" Type="http://schemas.openxmlformats.org/officeDocument/2006/relationships/chart" Target="../charts/chart31.xml"/><Relationship Id="rId1" Type="http://schemas.openxmlformats.org/officeDocument/2006/relationships/chart" Target="../charts/chart30.xml"/><Relationship Id="rId6" Type="http://schemas.openxmlformats.org/officeDocument/2006/relationships/chart" Target="../charts/chart35.xml"/><Relationship Id="rId11" Type="http://schemas.openxmlformats.org/officeDocument/2006/relationships/chart" Target="../charts/chart40.xml"/><Relationship Id="rId5" Type="http://schemas.openxmlformats.org/officeDocument/2006/relationships/chart" Target="../charts/chart34.xml"/><Relationship Id="rId10" Type="http://schemas.openxmlformats.org/officeDocument/2006/relationships/chart" Target="../charts/chart39.xml"/><Relationship Id="rId4" Type="http://schemas.openxmlformats.org/officeDocument/2006/relationships/chart" Target="../charts/chart33.xml"/><Relationship Id="rId9" Type="http://schemas.openxmlformats.org/officeDocument/2006/relationships/chart" Target="../charts/chart3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27</xdr:col>
      <xdr:colOff>493588</xdr:colOff>
      <xdr:row>0</xdr:row>
      <xdr:rowOff>0</xdr:rowOff>
    </xdr:from>
    <xdr:to>
      <xdr:col>35</xdr:col>
      <xdr:colOff>211180</xdr:colOff>
      <xdr:row>16</xdr:row>
      <xdr:rowOff>145161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E6004BE-3D8F-489A-8389-2E74BD63611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27</xdr:col>
      <xdr:colOff>521010</xdr:colOff>
      <xdr:row>18</xdr:row>
      <xdr:rowOff>35409</xdr:rowOff>
    </xdr:from>
    <xdr:to>
      <xdr:col>35</xdr:col>
      <xdr:colOff>238602</xdr:colOff>
      <xdr:row>36</xdr:row>
      <xdr:rowOff>143387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EAB0A294-A481-463B-B0E3-D0274BF478E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35</xdr:col>
      <xdr:colOff>374196</xdr:colOff>
      <xdr:row>2</xdr:row>
      <xdr:rowOff>45358</xdr:rowOff>
    </xdr:from>
    <xdr:to>
      <xdr:col>43</xdr:col>
      <xdr:colOff>92448</xdr:colOff>
      <xdr:row>16</xdr:row>
      <xdr:rowOff>152840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A6168C80-4434-4641-82A9-798BE1D93FA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35</xdr:col>
      <xdr:colOff>408214</xdr:colOff>
      <xdr:row>18</xdr:row>
      <xdr:rowOff>22679</xdr:rowOff>
    </xdr:from>
    <xdr:to>
      <xdr:col>43</xdr:col>
      <xdr:colOff>123993</xdr:colOff>
      <xdr:row>32</xdr:row>
      <xdr:rowOff>121913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23DBBDE6-2880-4468-AA3C-28E9D77D419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21</xdr:col>
      <xdr:colOff>56444</xdr:colOff>
      <xdr:row>7</xdr:row>
      <xdr:rowOff>103297</xdr:rowOff>
    </xdr:from>
    <xdr:to>
      <xdr:col>27</xdr:col>
      <xdr:colOff>260804</xdr:colOff>
      <xdr:row>27</xdr:row>
      <xdr:rowOff>172950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5BB50C51-0537-4C96-870D-AB9C8D91914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43</xdr:col>
      <xdr:colOff>453572</xdr:colOff>
      <xdr:row>2</xdr:row>
      <xdr:rowOff>79375</xdr:rowOff>
    </xdr:from>
    <xdr:to>
      <xdr:col>51</xdr:col>
      <xdr:colOff>171823</xdr:colOff>
      <xdr:row>16</xdr:row>
      <xdr:rowOff>186857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9A39F032-0B46-47AC-8D67-C16E31E127F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43</xdr:col>
      <xdr:colOff>476250</xdr:colOff>
      <xdr:row>18</xdr:row>
      <xdr:rowOff>0</xdr:rowOff>
    </xdr:from>
    <xdr:to>
      <xdr:col>51</xdr:col>
      <xdr:colOff>192028</xdr:colOff>
      <xdr:row>32</xdr:row>
      <xdr:rowOff>99234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E60CDD07-D55F-43E4-8564-5564918F811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27</xdr:col>
      <xdr:colOff>493588</xdr:colOff>
      <xdr:row>0</xdr:row>
      <xdr:rowOff>0</xdr:rowOff>
    </xdr:from>
    <xdr:to>
      <xdr:col>35</xdr:col>
      <xdr:colOff>211180</xdr:colOff>
      <xdr:row>16</xdr:row>
      <xdr:rowOff>145161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5521DF6-AD92-44B2-A83F-7F22D30231E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27</xdr:col>
      <xdr:colOff>521010</xdr:colOff>
      <xdr:row>18</xdr:row>
      <xdr:rowOff>35409</xdr:rowOff>
    </xdr:from>
    <xdr:to>
      <xdr:col>35</xdr:col>
      <xdr:colOff>238602</xdr:colOff>
      <xdr:row>36</xdr:row>
      <xdr:rowOff>143387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C1FF61F-FCBE-49A1-A313-E9FE8D32C10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35</xdr:col>
      <xdr:colOff>374196</xdr:colOff>
      <xdr:row>2</xdr:row>
      <xdr:rowOff>45358</xdr:rowOff>
    </xdr:from>
    <xdr:to>
      <xdr:col>43</xdr:col>
      <xdr:colOff>92448</xdr:colOff>
      <xdr:row>16</xdr:row>
      <xdr:rowOff>152840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619DBDBD-F1A0-428F-9E07-A88E2C7F08F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35</xdr:col>
      <xdr:colOff>408214</xdr:colOff>
      <xdr:row>18</xdr:row>
      <xdr:rowOff>22679</xdr:rowOff>
    </xdr:from>
    <xdr:to>
      <xdr:col>43</xdr:col>
      <xdr:colOff>123993</xdr:colOff>
      <xdr:row>32</xdr:row>
      <xdr:rowOff>121913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F4D66030-1A27-4254-9B7C-A0198690593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21</xdr:col>
      <xdr:colOff>255460</xdr:colOff>
      <xdr:row>7</xdr:row>
      <xdr:rowOff>103297</xdr:rowOff>
    </xdr:from>
    <xdr:to>
      <xdr:col>27</xdr:col>
      <xdr:colOff>260803</xdr:colOff>
      <xdr:row>27</xdr:row>
      <xdr:rowOff>172950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0FAD5F75-4E71-4577-BC10-9D9AC2B3C00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43</xdr:col>
      <xdr:colOff>453572</xdr:colOff>
      <xdr:row>2</xdr:row>
      <xdr:rowOff>79375</xdr:rowOff>
    </xdr:from>
    <xdr:to>
      <xdr:col>51</xdr:col>
      <xdr:colOff>171823</xdr:colOff>
      <xdr:row>16</xdr:row>
      <xdr:rowOff>186857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22D53225-4E58-4D60-8226-CA7038F0E41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43</xdr:col>
      <xdr:colOff>476250</xdr:colOff>
      <xdr:row>18</xdr:row>
      <xdr:rowOff>0</xdr:rowOff>
    </xdr:from>
    <xdr:to>
      <xdr:col>51</xdr:col>
      <xdr:colOff>192028</xdr:colOff>
      <xdr:row>32</xdr:row>
      <xdr:rowOff>99234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B5D3F14C-792B-45DD-A1DB-49924FCF2A2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20</xdr:col>
      <xdr:colOff>11340</xdr:colOff>
      <xdr:row>34</xdr:row>
      <xdr:rowOff>136072</xdr:rowOff>
    </xdr:from>
    <xdr:to>
      <xdr:col>27</xdr:col>
      <xdr:colOff>268042</xdr:colOff>
      <xdr:row>48</xdr:row>
      <xdr:rowOff>136072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72A36A36-B80E-441C-90AA-3078DEF560C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18</xdr:col>
      <xdr:colOff>607978</xdr:colOff>
      <xdr:row>53</xdr:row>
      <xdr:rowOff>0</xdr:rowOff>
    </xdr:from>
    <xdr:to>
      <xdr:col>26</xdr:col>
      <xdr:colOff>378297</xdr:colOff>
      <xdr:row>66</xdr:row>
      <xdr:rowOff>108085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650AAF1D-A951-467D-9301-99ACB66AC5B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19</xdr:col>
      <xdr:colOff>0</xdr:colOff>
      <xdr:row>71</xdr:row>
      <xdr:rowOff>0</xdr:rowOff>
    </xdr:from>
    <xdr:to>
      <xdr:col>26</xdr:col>
      <xdr:colOff>256702</xdr:colOff>
      <xdr:row>85</xdr:row>
      <xdr:rowOff>0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7D21B9E7-73DB-4E59-9B3F-DD76A3ABDA9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18</xdr:col>
      <xdr:colOff>607978</xdr:colOff>
      <xdr:row>88</xdr:row>
      <xdr:rowOff>0</xdr:rowOff>
    </xdr:from>
    <xdr:to>
      <xdr:col>26</xdr:col>
      <xdr:colOff>378297</xdr:colOff>
      <xdr:row>101</xdr:row>
      <xdr:rowOff>108085</xdr:rowOff>
    </xdr:to>
    <xdr:graphicFrame macro="">
      <xdr:nvGraphicFramePr>
        <xdr:cNvPr id="12" name="Chart 11">
          <a:extLst>
            <a:ext uri="{FF2B5EF4-FFF2-40B4-BE49-F238E27FC236}">
              <a16:creationId xmlns:a16="http://schemas.microsoft.com/office/drawing/2014/main" id="{0D857B79-39D9-42E9-A3E3-9BA8392D0B5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32</xdr:col>
      <xdr:colOff>7744</xdr:colOff>
      <xdr:row>3</xdr:row>
      <xdr:rowOff>15487</xdr:rowOff>
    </xdr:from>
    <xdr:to>
      <xdr:col>39</xdr:col>
      <xdr:colOff>588537</xdr:colOff>
      <xdr:row>18</xdr:row>
      <xdr:rowOff>23231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6148CD5-052E-457F-85F0-F8B59730E26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32</xdr:col>
      <xdr:colOff>12927</xdr:colOff>
      <xdr:row>18</xdr:row>
      <xdr:rowOff>85366</xdr:rowOff>
    </xdr:from>
    <xdr:to>
      <xdr:col>39</xdr:col>
      <xdr:colOff>596281</xdr:colOff>
      <xdr:row>34</xdr:row>
      <xdr:rowOff>69695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BC45FF4B-437C-4632-A291-D883A93F2FD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40</xdr:col>
      <xdr:colOff>47538</xdr:colOff>
      <xdr:row>3</xdr:row>
      <xdr:rowOff>15489</xdr:rowOff>
    </xdr:from>
    <xdr:to>
      <xdr:col>47</xdr:col>
      <xdr:colOff>596280</xdr:colOff>
      <xdr:row>18</xdr:row>
      <xdr:rowOff>31318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8219F0B8-8D5C-4E3C-A2EE-FAF709FCA17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40</xdr:col>
      <xdr:colOff>38719</xdr:colOff>
      <xdr:row>18</xdr:row>
      <xdr:rowOff>85183</xdr:rowOff>
    </xdr:from>
    <xdr:to>
      <xdr:col>47</xdr:col>
      <xdr:colOff>580792</xdr:colOff>
      <xdr:row>34</xdr:row>
      <xdr:rowOff>85183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1606CE72-651B-427A-B6D7-7B0A83B4CFE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27</xdr:col>
      <xdr:colOff>185853</xdr:colOff>
      <xdr:row>0</xdr:row>
      <xdr:rowOff>33662</xdr:rowOff>
    </xdr:from>
    <xdr:to>
      <xdr:col>31</xdr:col>
      <xdr:colOff>379451</xdr:colOff>
      <xdr:row>13</xdr:row>
      <xdr:rowOff>147135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A5C16C5F-A011-42BC-AB65-DDD79EDD519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48</xdr:col>
      <xdr:colOff>170127</xdr:colOff>
      <xdr:row>3</xdr:row>
      <xdr:rowOff>76520</xdr:rowOff>
    </xdr:from>
    <xdr:to>
      <xdr:col>55</xdr:col>
      <xdr:colOff>538393</xdr:colOff>
      <xdr:row>18</xdr:row>
      <xdr:rowOff>65334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D172776C-AFF9-4CD5-934B-74676692DA1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48</xdr:col>
      <xdr:colOff>192805</xdr:colOff>
      <xdr:row>19</xdr:row>
      <xdr:rowOff>73190</xdr:rowOff>
    </xdr:from>
    <xdr:to>
      <xdr:col>55</xdr:col>
      <xdr:colOff>558598</xdr:colOff>
      <xdr:row>34</xdr:row>
      <xdr:rowOff>53756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BFAB66D6-C1F7-4E14-8659-7FE35F4827A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23</xdr:col>
      <xdr:colOff>180817</xdr:colOff>
      <xdr:row>1</xdr:row>
      <xdr:rowOff>26862</xdr:rowOff>
    </xdr:from>
    <xdr:to>
      <xdr:col>31</xdr:col>
      <xdr:colOff>603846</xdr:colOff>
      <xdr:row>15</xdr:row>
      <xdr:rowOff>79644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B73C5A2-BCAD-4EB8-A92A-FD723D7C1D6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23</xdr:col>
      <xdr:colOff>294746</xdr:colOff>
      <xdr:row>15</xdr:row>
      <xdr:rowOff>174742</xdr:rowOff>
    </xdr:from>
    <xdr:to>
      <xdr:col>32</xdr:col>
      <xdr:colOff>106483</xdr:colOff>
      <xdr:row>29</xdr:row>
      <xdr:rowOff>149841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1F4EA87C-727E-4CBB-AA78-C7DFDCCCD87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32</xdr:col>
      <xdr:colOff>0</xdr:colOff>
      <xdr:row>1</xdr:row>
      <xdr:rowOff>0</xdr:rowOff>
    </xdr:from>
    <xdr:to>
      <xdr:col>48</xdr:col>
      <xdr:colOff>575733</xdr:colOff>
      <xdr:row>15</xdr:row>
      <xdr:rowOff>53426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F2474B6B-BE9F-46D2-9E59-87D73DDFCAE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32</xdr:col>
      <xdr:colOff>0</xdr:colOff>
      <xdr:row>16</xdr:row>
      <xdr:rowOff>0</xdr:rowOff>
    </xdr:from>
    <xdr:to>
      <xdr:col>48</xdr:col>
      <xdr:colOff>541867</xdr:colOff>
      <xdr:row>29</xdr:row>
      <xdr:rowOff>159157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F4FAC453-2501-4F94-8978-FBF9DF9FD37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385487</xdr:colOff>
      <xdr:row>3</xdr:row>
      <xdr:rowOff>58782</xdr:rowOff>
    </xdr:from>
    <xdr:to>
      <xdr:col>23</xdr:col>
      <xdr:colOff>431826</xdr:colOff>
      <xdr:row>10</xdr:row>
      <xdr:rowOff>93471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7DC6A7E-B9D4-4EE4-AAD1-A014C7246CD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18</xdr:col>
      <xdr:colOff>340594</xdr:colOff>
      <xdr:row>10</xdr:row>
      <xdr:rowOff>160313</xdr:rowOff>
    </xdr:from>
    <xdr:to>
      <xdr:col>23</xdr:col>
      <xdr:colOff>386933</xdr:colOff>
      <xdr:row>18</xdr:row>
      <xdr:rowOff>8240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F3585C8B-899B-475F-BAFF-EF90944D827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18</xdr:col>
      <xdr:colOff>332239</xdr:colOff>
      <xdr:row>18</xdr:row>
      <xdr:rowOff>29651</xdr:rowOff>
    </xdr:from>
    <xdr:to>
      <xdr:col>23</xdr:col>
      <xdr:colOff>378578</xdr:colOff>
      <xdr:row>25</xdr:row>
      <xdr:rowOff>67362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72C4F310-DCD0-4F19-A5E4-86E0239135B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18</xdr:col>
      <xdr:colOff>315528</xdr:colOff>
      <xdr:row>25</xdr:row>
      <xdr:rowOff>79782</xdr:rowOff>
    </xdr:from>
    <xdr:to>
      <xdr:col>23</xdr:col>
      <xdr:colOff>361867</xdr:colOff>
      <xdr:row>32</xdr:row>
      <xdr:rowOff>106116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6258AB84-DB68-41D6-B8A0-2AF9C6E9F3C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18</xdr:col>
      <xdr:colOff>323884</xdr:colOff>
      <xdr:row>32</xdr:row>
      <xdr:rowOff>177024</xdr:rowOff>
    </xdr:from>
    <xdr:to>
      <xdr:col>23</xdr:col>
      <xdr:colOff>370223</xdr:colOff>
      <xdr:row>40</xdr:row>
      <xdr:rowOff>26954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CB188BB5-0DE3-4451-BE0C-E9C7C855595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30</xdr:col>
      <xdr:colOff>385487</xdr:colOff>
      <xdr:row>3</xdr:row>
      <xdr:rowOff>58782</xdr:rowOff>
    </xdr:from>
    <xdr:to>
      <xdr:col>35</xdr:col>
      <xdr:colOff>431826</xdr:colOff>
      <xdr:row>10</xdr:row>
      <xdr:rowOff>93471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2EDEC0CE-1C64-4B27-A4C7-99C1270E155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30</xdr:col>
      <xdr:colOff>340594</xdr:colOff>
      <xdr:row>10</xdr:row>
      <xdr:rowOff>160313</xdr:rowOff>
    </xdr:from>
    <xdr:to>
      <xdr:col>35</xdr:col>
      <xdr:colOff>386933</xdr:colOff>
      <xdr:row>18</xdr:row>
      <xdr:rowOff>8240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C9E66358-F60C-4D94-B819-6AB74F667EF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30</xdr:col>
      <xdr:colOff>332239</xdr:colOff>
      <xdr:row>18</xdr:row>
      <xdr:rowOff>29651</xdr:rowOff>
    </xdr:from>
    <xdr:to>
      <xdr:col>35</xdr:col>
      <xdr:colOff>378578</xdr:colOff>
      <xdr:row>25</xdr:row>
      <xdr:rowOff>67362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B8B813EB-BCF6-4238-AD03-1CF5E469524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30</xdr:col>
      <xdr:colOff>315528</xdr:colOff>
      <xdr:row>25</xdr:row>
      <xdr:rowOff>79782</xdr:rowOff>
    </xdr:from>
    <xdr:to>
      <xdr:col>35</xdr:col>
      <xdr:colOff>361867</xdr:colOff>
      <xdr:row>32</xdr:row>
      <xdr:rowOff>106116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A93B76C9-C4D3-4E70-AF80-5CC4C27A116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30</xdr:col>
      <xdr:colOff>323884</xdr:colOff>
      <xdr:row>32</xdr:row>
      <xdr:rowOff>177024</xdr:rowOff>
    </xdr:from>
    <xdr:to>
      <xdr:col>35</xdr:col>
      <xdr:colOff>370223</xdr:colOff>
      <xdr:row>40</xdr:row>
      <xdr:rowOff>26954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A0B52A1C-70FA-4383-ADC4-E06E6434258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37</xdr:col>
      <xdr:colOff>63500</xdr:colOff>
      <xdr:row>13</xdr:row>
      <xdr:rowOff>25400</xdr:rowOff>
    </xdr:from>
    <xdr:to>
      <xdr:col>42</xdr:col>
      <xdr:colOff>71966</xdr:colOff>
      <xdr:row>27</xdr:row>
      <xdr:rowOff>110067</xdr:rowOff>
    </xdr:to>
    <xdr:graphicFrame macro="">
      <xdr:nvGraphicFramePr>
        <xdr:cNvPr id="12" name="Chart 11">
          <a:extLst>
            <a:ext uri="{FF2B5EF4-FFF2-40B4-BE49-F238E27FC236}">
              <a16:creationId xmlns:a16="http://schemas.microsoft.com/office/drawing/2014/main" id="{F931CD1C-FC23-4DDC-AB4B-AC72C663AC3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C99BB4-6D47-4EDD-8BFB-AF9C4B081F50}">
  <dimension ref="A1:T184"/>
  <sheetViews>
    <sheetView topLeftCell="E1" zoomScale="67" zoomScaleNormal="77" workbookViewId="0">
      <selection activeCell="D25" sqref="D25"/>
    </sheetView>
  </sheetViews>
  <sheetFormatPr defaultRowHeight="14.6" x14ac:dyDescent="0.4"/>
  <cols>
    <col min="4" max="4" width="15.61328125" customWidth="1"/>
    <col min="5" max="6" width="17.84375" customWidth="1"/>
    <col min="7" max="7" width="10.53515625" customWidth="1"/>
    <col min="8" max="8" width="17" customWidth="1"/>
    <col min="9" max="9" width="18.07421875" customWidth="1"/>
    <col min="14" max="14" width="12.3828125" customWidth="1"/>
    <col min="15" max="15" width="17" customWidth="1"/>
    <col min="16" max="16" width="9.84375" customWidth="1"/>
    <col min="18" max="18" width="20.69140625" customWidth="1"/>
  </cols>
  <sheetData>
    <row r="1" spans="1:20" x14ac:dyDescent="0.4">
      <c r="A1" s="3" t="s">
        <v>13</v>
      </c>
      <c r="B1" s="3"/>
      <c r="C1" s="3"/>
      <c r="D1" s="3"/>
      <c r="E1" s="3"/>
      <c r="F1" s="3"/>
      <c r="G1" s="3"/>
      <c r="H1" s="3"/>
      <c r="I1" s="3"/>
      <c r="J1" s="3"/>
    </row>
    <row r="2" spans="1:20" ht="15" thickBot="1" x14ac:dyDescent="0.45">
      <c r="A2" s="1" t="s">
        <v>17</v>
      </c>
      <c r="B2" s="1"/>
      <c r="C2" s="1"/>
      <c r="D2" s="1"/>
      <c r="E2" s="1"/>
      <c r="F2" s="1"/>
      <c r="G2" s="1"/>
      <c r="H2" s="1"/>
      <c r="I2" s="1"/>
      <c r="J2" s="21"/>
    </row>
    <row r="3" spans="1:20" x14ac:dyDescent="0.4">
      <c r="A3" s="22" t="s">
        <v>0</v>
      </c>
      <c r="B3" s="23" t="s">
        <v>2</v>
      </c>
      <c r="C3" s="24" t="s">
        <v>1</v>
      </c>
      <c r="D3" s="24" t="s">
        <v>11</v>
      </c>
      <c r="E3" s="7" t="s">
        <v>7</v>
      </c>
      <c r="F3" s="41" t="s">
        <v>47</v>
      </c>
      <c r="G3" s="22" t="s">
        <v>12</v>
      </c>
      <c r="H3" s="15" t="s">
        <v>8</v>
      </c>
      <c r="I3" s="15" t="s">
        <v>7</v>
      </c>
      <c r="J3" s="20"/>
      <c r="K3">
        <f>37.95</f>
        <v>37.950000000000003</v>
      </c>
      <c r="L3" t="s">
        <v>164</v>
      </c>
      <c r="M3" s="37" t="s">
        <v>46</v>
      </c>
      <c r="N3" s="37"/>
      <c r="O3" s="37"/>
      <c r="P3" s="37"/>
      <c r="Q3" s="37"/>
      <c r="R3" s="37"/>
      <c r="S3" s="39"/>
      <c r="T3" s="37" t="s">
        <v>149</v>
      </c>
    </row>
    <row r="4" spans="1:20" x14ac:dyDescent="0.4">
      <c r="A4" s="22" t="s">
        <v>3</v>
      </c>
      <c r="B4" s="26">
        <v>3.1</v>
      </c>
      <c r="C4" s="27">
        <v>4787.5</v>
      </c>
      <c r="D4" s="28">
        <f>C4/C6</f>
        <v>41.775741710296685</v>
      </c>
      <c r="E4" s="27">
        <v>0</v>
      </c>
      <c r="F4" s="42">
        <f>(E4*120.15)/1000</f>
        <v>0</v>
      </c>
      <c r="G4" s="35">
        <f>(C5/(C4+C5))</f>
        <v>0</v>
      </c>
      <c r="H4" s="19">
        <f>((G4*1000)/1.1)</f>
        <v>0</v>
      </c>
      <c r="I4" s="19">
        <f>(H4/120.15)*1000</f>
        <v>0</v>
      </c>
      <c r="J4" s="20"/>
      <c r="K4">
        <f>37.95/1000*2.86/1/44400*1000*1000</f>
        <v>2.4445270270270272</v>
      </c>
      <c r="L4" t="s">
        <v>159</v>
      </c>
      <c r="M4" s="37" t="s">
        <v>14</v>
      </c>
      <c r="N4" s="37" t="s">
        <v>16</v>
      </c>
      <c r="O4" s="37" t="s">
        <v>49</v>
      </c>
      <c r="P4" s="38" t="s">
        <v>9</v>
      </c>
      <c r="Q4" s="38" t="s">
        <v>15</v>
      </c>
      <c r="R4" s="37" t="s">
        <v>53</v>
      </c>
      <c r="T4" s="37" t="s">
        <v>16</v>
      </c>
    </row>
    <row r="5" spans="1:20" x14ac:dyDescent="0.4">
      <c r="A5" s="22" t="s">
        <v>5</v>
      </c>
      <c r="B5" s="26">
        <v>4.83</v>
      </c>
      <c r="C5" s="27">
        <v>0</v>
      </c>
      <c r="D5" s="18">
        <f>C5/C6</f>
        <v>0</v>
      </c>
      <c r="E5" s="27"/>
      <c r="F5" s="42"/>
      <c r="G5" s="28"/>
      <c r="H5" s="20"/>
      <c r="I5" s="20"/>
      <c r="J5" s="20"/>
      <c r="M5">
        <v>0</v>
      </c>
      <c r="N5">
        <v>1</v>
      </c>
      <c r="O5">
        <f>E14</f>
        <v>0</v>
      </c>
      <c r="P5" s="2">
        <v>0</v>
      </c>
      <c r="Q5">
        <f>0</f>
        <v>0</v>
      </c>
      <c r="R5">
        <v>0</v>
      </c>
      <c r="T5">
        <f>N5-O5</f>
        <v>1</v>
      </c>
    </row>
    <row r="6" spans="1:20" ht="15" thickBot="1" x14ac:dyDescent="0.45">
      <c r="A6" s="22" t="s">
        <v>4</v>
      </c>
      <c r="B6" s="30">
        <v>6.2119999999999997</v>
      </c>
      <c r="C6" s="31">
        <v>114.6</v>
      </c>
      <c r="D6" s="31"/>
      <c r="E6" s="40"/>
      <c r="F6" s="43"/>
      <c r="G6" s="36">
        <f>C6/(C4+C5+C6)</f>
        <v>2.3377736072295544E-2</v>
      </c>
      <c r="H6" s="20"/>
      <c r="I6" s="20"/>
      <c r="J6" s="20"/>
      <c r="M6">
        <v>1</v>
      </c>
      <c r="N6">
        <f>M6*8.56+1</f>
        <v>9.56</v>
      </c>
      <c r="O6" s="2">
        <f>E25</f>
        <v>7.5035944329422595</v>
      </c>
      <c r="P6" s="2">
        <f>O6/(2.44/1000)</f>
        <v>3075.2436200583033</v>
      </c>
      <c r="Q6">
        <f>((O6-O5)/(2.44/1000))/(M6-M5)</f>
        <v>3075.2436200583033</v>
      </c>
      <c r="R6">
        <f t="shared" ref="R6:R11" si="0">(O6-O5)/1</f>
        <v>7.5035944329422595</v>
      </c>
      <c r="S6" t="s">
        <v>50</v>
      </c>
      <c r="T6" s="2">
        <f>T5+N6-O6</f>
        <v>3.056405567057741</v>
      </c>
    </row>
    <row r="7" spans="1:20" ht="15" thickBot="1" x14ac:dyDescent="0.45">
      <c r="A7" s="1" t="s">
        <v>18</v>
      </c>
      <c r="B7" s="33"/>
      <c r="C7" s="33"/>
      <c r="D7" s="33"/>
      <c r="E7" s="33"/>
      <c r="F7" s="33"/>
      <c r="G7" s="1"/>
      <c r="H7" s="1"/>
      <c r="I7" s="1"/>
      <c r="J7" s="34"/>
      <c r="M7">
        <v>2</v>
      </c>
      <c r="N7">
        <f t="shared" ref="N7:N18" si="1">M7*8.56+1</f>
        <v>18.12</v>
      </c>
      <c r="O7" s="2">
        <f>E46</f>
        <v>15.04866833004526</v>
      </c>
      <c r="P7" s="2">
        <f t="shared" ref="P7:P16" si="2">O7/(2.44/1000)</f>
        <v>6167.4870205103525</v>
      </c>
      <c r="Q7">
        <f t="shared" ref="Q7:Q18" si="3">((O7-O6)/(2.44/1000))/(M7-M6)</f>
        <v>3092.2434004520496</v>
      </c>
      <c r="R7">
        <f t="shared" si="0"/>
        <v>7.5450738971030002</v>
      </c>
      <c r="S7" t="s">
        <v>50</v>
      </c>
      <c r="T7" s="2">
        <f>T6+N7-O7</f>
        <v>6.1277372370124823</v>
      </c>
    </row>
    <row r="8" spans="1:20" x14ac:dyDescent="0.4">
      <c r="A8" s="22" t="s">
        <v>0</v>
      </c>
      <c r="B8" s="23" t="s">
        <v>2</v>
      </c>
      <c r="C8" s="24" t="s">
        <v>1</v>
      </c>
      <c r="D8" s="24" t="s">
        <v>11</v>
      </c>
      <c r="E8" s="8" t="s">
        <v>7</v>
      </c>
      <c r="F8" s="25" t="s">
        <v>47</v>
      </c>
      <c r="G8" s="22" t="s">
        <v>12</v>
      </c>
      <c r="H8" s="15" t="s">
        <v>8</v>
      </c>
      <c r="I8" s="15" t="s">
        <v>7</v>
      </c>
      <c r="J8" s="34"/>
      <c r="M8">
        <v>3</v>
      </c>
      <c r="N8">
        <f t="shared" si="1"/>
        <v>26.68</v>
      </c>
      <c r="O8" s="2">
        <f>E57</f>
        <v>27.447562358276645</v>
      </c>
      <c r="P8" s="2">
        <f>O8/(2.44/1000)</f>
        <v>11249.000966506823</v>
      </c>
      <c r="Q8">
        <f>((O8-O7)/(2.44/1000))/(M8-M7)</f>
        <v>5081.5139459964694</v>
      </c>
      <c r="R8">
        <f t="shared" si="0"/>
        <v>12.398894028231386</v>
      </c>
      <c r="T8" s="2">
        <f t="shared" ref="T8:T18" si="4">T7+N8-O8</f>
        <v>5.3601748787358368</v>
      </c>
    </row>
    <row r="9" spans="1:20" x14ac:dyDescent="0.4">
      <c r="A9" s="22" t="s">
        <v>3</v>
      </c>
      <c r="B9" s="26">
        <v>3.14</v>
      </c>
      <c r="C9" s="20">
        <v>4827.1000000000004</v>
      </c>
      <c r="D9" s="28">
        <f>C9/C11</f>
        <v>42.342982456140355</v>
      </c>
      <c r="E9" s="29">
        <v>0</v>
      </c>
      <c r="F9" s="29">
        <f>(E9*120.15)/1000</f>
        <v>0</v>
      </c>
      <c r="G9" s="35">
        <f>(C10/(C9+C10))</f>
        <v>0</v>
      </c>
      <c r="H9" s="19">
        <f>((G9*1000)/1.1)</f>
        <v>0</v>
      </c>
      <c r="I9" s="19">
        <f>(H9/120.15)*1000</f>
        <v>0</v>
      </c>
      <c r="J9" s="34"/>
      <c r="M9">
        <v>4</v>
      </c>
      <c r="N9">
        <f t="shared" si="1"/>
        <v>35.24</v>
      </c>
      <c r="O9" s="2">
        <f>E68</f>
        <v>33.414765544190324</v>
      </c>
      <c r="P9" s="2">
        <f t="shared" si="2"/>
        <v>13694.576042700954</v>
      </c>
      <c r="Q9">
        <f>((O9-O8)/(2.44/1000))/(M9-M8)</f>
        <v>2445.5750761941308</v>
      </c>
      <c r="R9">
        <f t="shared" si="0"/>
        <v>5.9672031859136787</v>
      </c>
      <c r="T9" s="2">
        <f t="shared" si="4"/>
        <v>7.1854093345455183</v>
      </c>
    </row>
    <row r="10" spans="1:20" x14ac:dyDescent="0.4">
      <c r="A10" s="22" t="s">
        <v>5</v>
      </c>
      <c r="B10" s="26">
        <v>4.83</v>
      </c>
      <c r="C10" s="20">
        <v>0</v>
      </c>
      <c r="D10" s="18">
        <f>C10/C11</f>
        <v>0</v>
      </c>
      <c r="E10" s="29"/>
      <c r="F10" s="29"/>
      <c r="G10" s="28"/>
      <c r="H10" s="20"/>
      <c r="I10" s="20"/>
      <c r="J10" s="34"/>
      <c r="M10">
        <v>5</v>
      </c>
      <c r="N10">
        <f t="shared" si="1"/>
        <v>43.800000000000004</v>
      </c>
      <c r="O10" s="2">
        <f>E79</f>
        <v>41.229577896732465</v>
      </c>
      <c r="P10" s="2">
        <f t="shared" si="2"/>
        <v>16897.367990464125</v>
      </c>
      <c r="Q10">
        <f t="shared" si="3"/>
        <v>3202.7919477631726</v>
      </c>
      <c r="R10">
        <f t="shared" si="0"/>
        <v>7.8148123525421411</v>
      </c>
      <c r="S10" t="s">
        <v>50</v>
      </c>
      <c r="T10" s="2">
        <f t="shared" si="4"/>
        <v>9.7558314378130575</v>
      </c>
    </row>
    <row r="11" spans="1:20" ht="15" thickBot="1" x14ac:dyDescent="0.45">
      <c r="A11" s="22" t="s">
        <v>4</v>
      </c>
      <c r="B11" s="30">
        <v>6.2119999999999997</v>
      </c>
      <c r="C11" s="31">
        <v>114</v>
      </c>
      <c r="D11" s="31"/>
      <c r="E11" s="32"/>
      <c r="F11" s="32"/>
      <c r="G11" s="36">
        <f>C11/(C9+C10+C11)</f>
        <v>2.3071785634777679E-2</v>
      </c>
      <c r="H11" s="20"/>
      <c r="I11" s="20"/>
      <c r="J11" s="34"/>
      <c r="M11">
        <v>6</v>
      </c>
      <c r="N11">
        <f t="shared" si="1"/>
        <v>52.36</v>
      </c>
      <c r="O11" s="2">
        <f>E90</f>
        <v>49.080537181265342</v>
      </c>
      <c r="P11" s="2">
        <f t="shared" si="2"/>
        <v>20114.974254616944</v>
      </c>
      <c r="Q11">
        <f t="shared" si="3"/>
        <v>3217.6062641528183</v>
      </c>
      <c r="R11">
        <f t="shared" si="0"/>
        <v>7.8509592845328768</v>
      </c>
      <c r="S11" t="s">
        <v>50</v>
      </c>
      <c r="T11" s="2">
        <f t="shared" si="4"/>
        <v>13.035294256547715</v>
      </c>
    </row>
    <row r="12" spans="1:20" ht="15" thickBot="1" x14ac:dyDescent="0.45">
      <c r="A12" s="1" t="s">
        <v>19</v>
      </c>
      <c r="B12" s="33"/>
      <c r="C12" s="33"/>
      <c r="D12" s="33"/>
      <c r="E12" s="33"/>
      <c r="F12" s="33"/>
      <c r="G12" s="1"/>
      <c r="H12" s="1"/>
      <c r="I12" s="1"/>
      <c r="J12" s="34"/>
      <c r="M12">
        <v>18</v>
      </c>
      <c r="N12">
        <f t="shared" si="1"/>
        <v>155.08000000000001</v>
      </c>
      <c r="O12" s="2">
        <f>E101</f>
        <v>109.86397411313519</v>
      </c>
      <c r="P12" s="2">
        <f t="shared" si="2"/>
        <v>45026.2188988259</v>
      </c>
      <c r="Q12">
        <f t="shared" si="3"/>
        <v>2075.9370536840793</v>
      </c>
      <c r="R12">
        <f>(O12-O11)/12</f>
        <v>5.0652864109891533</v>
      </c>
      <c r="T12" s="2">
        <f t="shared" si="4"/>
        <v>58.251320143412528</v>
      </c>
    </row>
    <row r="13" spans="1:20" x14ac:dyDescent="0.4">
      <c r="A13" t="s">
        <v>0</v>
      </c>
      <c r="B13" s="23" t="s">
        <v>2</v>
      </c>
      <c r="C13" s="24" t="s">
        <v>1</v>
      </c>
      <c r="D13" s="24" t="s">
        <v>11</v>
      </c>
      <c r="E13" s="8" t="s">
        <v>7</v>
      </c>
      <c r="F13" s="25" t="s">
        <v>47</v>
      </c>
      <c r="G13" s="22" t="s">
        <v>12</v>
      </c>
      <c r="H13" s="15" t="s">
        <v>8</v>
      </c>
      <c r="I13" s="15" t="s">
        <v>7</v>
      </c>
      <c r="J13" s="15"/>
      <c r="M13">
        <v>20</v>
      </c>
      <c r="N13">
        <f t="shared" si="1"/>
        <v>172.20000000000002</v>
      </c>
      <c r="O13" s="2">
        <f>E122</f>
        <v>109.93055555555556</v>
      </c>
      <c r="P13" s="2">
        <f t="shared" si="2"/>
        <v>45053.506375227691</v>
      </c>
      <c r="Q13">
        <f t="shared" si="3"/>
        <v>13.643738200895836</v>
      </c>
      <c r="R13">
        <f>(O13-O12)/2</f>
        <v>3.3290721210185836E-2</v>
      </c>
      <c r="T13" s="2">
        <f t="shared" si="4"/>
        <v>120.52076458785699</v>
      </c>
    </row>
    <row r="14" spans="1:20" x14ac:dyDescent="0.4">
      <c r="A14" t="s">
        <v>3</v>
      </c>
      <c r="B14" s="13">
        <v>3.1</v>
      </c>
      <c r="C14" s="20">
        <v>6149.5</v>
      </c>
      <c r="D14" s="5">
        <f>C14/C16</f>
        <v>48.307148468185389</v>
      </c>
      <c r="E14" s="29">
        <v>0</v>
      </c>
      <c r="F14" s="29">
        <f>(E14*120.15)/1000</f>
        <v>0</v>
      </c>
      <c r="G14" s="35">
        <f>(C15/(C14+C15))</f>
        <v>0</v>
      </c>
      <c r="H14" s="19">
        <f>((G14*1000)/1.1)</f>
        <v>0</v>
      </c>
      <c r="I14" s="19">
        <f>(H14/120.15)*1000</f>
        <v>0</v>
      </c>
      <c r="J14" s="15"/>
      <c r="M14">
        <v>22</v>
      </c>
      <c r="N14">
        <f t="shared" si="1"/>
        <v>189.32000000000002</v>
      </c>
      <c r="O14" s="2">
        <f>E133</f>
        <v>110.88184931506849</v>
      </c>
      <c r="P14" s="2">
        <f t="shared" si="2"/>
        <v>45443.38086683135</v>
      </c>
      <c r="Q14">
        <f t="shared" si="3"/>
        <v>194.93724580183112</v>
      </c>
      <c r="R14">
        <f>(O14-O13)/2</f>
        <v>0.47564687975646791</v>
      </c>
      <c r="T14" s="2">
        <f t="shared" si="4"/>
        <v>198.95891527278849</v>
      </c>
    </row>
    <row r="15" spans="1:20" x14ac:dyDescent="0.4">
      <c r="A15" t="s">
        <v>5</v>
      </c>
      <c r="B15" s="13">
        <v>4.83</v>
      </c>
      <c r="C15" s="20">
        <v>0</v>
      </c>
      <c r="D15" s="19">
        <f>C15/C16</f>
        <v>0</v>
      </c>
      <c r="E15" s="9"/>
      <c r="F15" s="29"/>
      <c r="G15" s="28"/>
      <c r="H15" s="20"/>
      <c r="I15" s="20"/>
      <c r="J15" s="15"/>
      <c r="M15">
        <v>24</v>
      </c>
      <c r="N15">
        <f t="shared" si="1"/>
        <v>206.44</v>
      </c>
      <c r="O15" s="2">
        <f>E144</f>
        <v>113.3538732394366</v>
      </c>
      <c r="P15" s="2">
        <f t="shared" si="2"/>
        <v>46456.505425998606</v>
      </c>
      <c r="Q15">
        <f t="shared" si="3"/>
        <v>506.56227958362751</v>
      </c>
      <c r="R15">
        <f>(O15-O14)/2</f>
        <v>1.2360119621840511</v>
      </c>
      <c r="T15" s="2">
        <f t="shared" si="4"/>
        <v>292.04504203335188</v>
      </c>
    </row>
    <row r="16" spans="1:20" ht="15" thickBot="1" x14ac:dyDescent="0.45">
      <c r="A16" t="s">
        <v>4</v>
      </c>
      <c r="B16" s="14">
        <v>6.2119999999999997</v>
      </c>
      <c r="C16" s="11">
        <v>127.3</v>
      </c>
      <c r="D16" s="11"/>
      <c r="E16" s="16"/>
      <c r="F16" s="32"/>
      <c r="G16" s="36">
        <f>C16/(C14+C15+C16)</f>
        <v>2.0281034922253378E-2</v>
      </c>
      <c r="H16" s="20"/>
      <c r="I16" s="20"/>
      <c r="J16" s="15"/>
      <c r="M16">
        <v>44</v>
      </c>
      <c r="N16">
        <f t="shared" si="1"/>
        <v>377.64000000000004</v>
      </c>
      <c r="O16" s="2">
        <f>E155</f>
        <v>124.0711620469083</v>
      </c>
      <c r="P16" s="2">
        <f t="shared" si="2"/>
        <v>50848.83690447062</v>
      </c>
      <c r="Q16">
        <f t="shared" si="3"/>
        <v>219.61657392360047</v>
      </c>
      <c r="R16">
        <f>(O16-O15)/20</f>
        <v>0.53586444037358516</v>
      </c>
      <c r="T16" s="2">
        <f t="shared" si="4"/>
        <v>545.61387998644364</v>
      </c>
    </row>
    <row r="17" spans="1:20" ht="15" thickBot="1" x14ac:dyDescent="0.45">
      <c r="A17" s="1" t="s">
        <v>20</v>
      </c>
      <c r="B17" s="33"/>
      <c r="C17" s="33"/>
      <c r="D17" s="33"/>
      <c r="E17" s="33"/>
      <c r="F17" s="33"/>
      <c r="G17" s="1"/>
      <c r="H17" s="1"/>
      <c r="I17" s="1"/>
      <c r="J17" s="34"/>
      <c r="M17">
        <v>46</v>
      </c>
      <c r="N17">
        <f t="shared" si="1"/>
        <v>394.76000000000005</v>
      </c>
      <c r="O17" s="2">
        <f>E166</f>
        <v>121.07848551791851</v>
      </c>
      <c r="P17" s="2">
        <f>O17/(2.44/1000)</f>
        <v>49622.330130294475</v>
      </c>
      <c r="Q17">
        <f t="shared" si="3"/>
        <v>-613.2533870880718</v>
      </c>
      <c r="R17">
        <f>(O17-O16)/20</f>
        <v>-0.1496338264494895</v>
      </c>
      <c r="T17" s="2">
        <f t="shared" si="4"/>
        <v>819.29539446852516</v>
      </c>
    </row>
    <row r="18" spans="1:20" x14ac:dyDescent="0.4">
      <c r="A18" t="s">
        <v>0</v>
      </c>
      <c r="B18" s="23" t="s">
        <v>2</v>
      </c>
      <c r="C18" s="24" t="s">
        <v>1</v>
      </c>
      <c r="D18" s="24" t="s">
        <v>11</v>
      </c>
      <c r="E18" s="8" t="s">
        <v>7</v>
      </c>
      <c r="F18" s="25" t="s">
        <v>47</v>
      </c>
      <c r="G18" s="22" t="s">
        <v>12</v>
      </c>
      <c r="H18" s="15" t="s">
        <v>8</v>
      </c>
      <c r="I18" s="15" t="s">
        <v>7</v>
      </c>
      <c r="J18" s="15"/>
      <c r="M18">
        <v>48</v>
      </c>
      <c r="N18">
        <f t="shared" si="1"/>
        <v>411.88</v>
      </c>
      <c r="O18" s="2">
        <f>E177</f>
        <v>119.50411286963767</v>
      </c>
      <c r="P18" s="2">
        <f>O18/(2.44/1000)</f>
        <v>48977.095438376098</v>
      </c>
      <c r="Q18">
        <f t="shared" si="3"/>
        <v>-322.61734595918909</v>
      </c>
      <c r="R18">
        <f>(O18-O17)/20</f>
        <v>-7.8718632414042131E-2</v>
      </c>
      <c r="T18" s="2">
        <f t="shared" si="4"/>
        <v>1111.6712815988874</v>
      </c>
    </row>
    <row r="19" spans="1:20" x14ac:dyDescent="0.4">
      <c r="A19" t="s">
        <v>3</v>
      </c>
      <c r="B19" s="13">
        <v>3.1</v>
      </c>
      <c r="C19" s="20">
        <v>5968.6</v>
      </c>
      <c r="D19" s="5">
        <f>C19/C21</f>
        <v>48.564686737184701</v>
      </c>
      <c r="E19" s="29">
        <v>0</v>
      </c>
      <c r="F19" s="29">
        <f>(E19*120.15)/1000</f>
        <v>0</v>
      </c>
      <c r="G19" s="35">
        <f>(C20/(C19+C20))</f>
        <v>0</v>
      </c>
      <c r="H19" s="19">
        <f>((G19*1000)/1.1)</f>
        <v>0</v>
      </c>
      <c r="I19" s="19">
        <f>(H19/120.15)*1000</f>
        <v>0</v>
      </c>
      <c r="J19" s="15"/>
    </row>
    <row r="20" spans="1:20" x14ac:dyDescent="0.4">
      <c r="A20" t="s">
        <v>5</v>
      </c>
      <c r="B20" s="13">
        <v>4.83</v>
      </c>
      <c r="C20" s="20">
        <v>0</v>
      </c>
      <c r="D20" s="19">
        <f>C20/C21</f>
        <v>0</v>
      </c>
      <c r="E20" s="9"/>
      <c r="F20" s="29"/>
      <c r="G20" s="28"/>
      <c r="H20" s="20"/>
      <c r="I20" s="20"/>
      <c r="J20" s="15"/>
      <c r="K20">
        <v>380</v>
      </c>
      <c r="L20" t="s">
        <v>164</v>
      </c>
      <c r="M20" s="37" t="s">
        <v>48</v>
      </c>
      <c r="N20" s="37"/>
      <c r="O20" s="37"/>
      <c r="P20" s="37"/>
      <c r="Q20" s="37"/>
      <c r="R20" s="37"/>
      <c r="S20" s="39"/>
      <c r="T20" s="37" t="s">
        <v>149</v>
      </c>
    </row>
    <row r="21" spans="1:20" ht="15" thickBot="1" x14ac:dyDescent="0.45">
      <c r="A21" t="s">
        <v>4</v>
      </c>
      <c r="B21" s="14">
        <v>6.2119999999999997</v>
      </c>
      <c r="C21" s="11">
        <v>122.9</v>
      </c>
      <c r="D21" s="11"/>
      <c r="E21" s="16"/>
      <c r="F21" s="32"/>
      <c r="G21" s="36">
        <f>C21/(C19+C20+C21)</f>
        <v>2.0175654600673072E-2</v>
      </c>
      <c r="H21" s="20"/>
      <c r="I21" s="20"/>
      <c r="J21" s="15"/>
      <c r="K21">
        <f>0.38*0.5*0.185/1/44400*1000*1000</f>
        <v>0.79166666666666663</v>
      </c>
      <c r="L21" t="s">
        <v>159</v>
      </c>
      <c r="M21" s="37" t="s">
        <v>14</v>
      </c>
      <c r="N21" s="37" t="s">
        <v>16</v>
      </c>
      <c r="O21" s="37" t="s">
        <v>49</v>
      </c>
      <c r="P21" s="38" t="s">
        <v>9</v>
      </c>
      <c r="Q21" s="38" t="s">
        <v>15</v>
      </c>
      <c r="R21" s="37" t="s">
        <v>53</v>
      </c>
      <c r="T21" s="37" t="s">
        <v>16</v>
      </c>
    </row>
    <row r="22" spans="1:20" x14ac:dyDescent="0.4">
      <c r="A22" s="3" t="s">
        <v>13</v>
      </c>
      <c r="B22" s="3"/>
      <c r="C22" s="3"/>
      <c r="D22" s="3"/>
      <c r="E22" s="3"/>
      <c r="F22" s="3"/>
      <c r="G22" s="3"/>
      <c r="H22" s="3"/>
      <c r="I22" s="3"/>
      <c r="J22" s="3"/>
      <c r="M22">
        <v>0</v>
      </c>
      <c r="N22">
        <v>1</v>
      </c>
      <c r="O22">
        <v>0</v>
      </c>
      <c r="P22" s="2">
        <f>O22/(0.43/1000)</f>
        <v>0</v>
      </c>
      <c r="Q22">
        <f>0</f>
        <v>0</v>
      </c>
      <c r="R22">
        <v>0</v>
      </c>
      <c r="T22">
        <f>N22-O22</f>
        <v>1</v>
      </c>
    </row>
    <row r="23" spans="1:20" ht="15" thickBot="1" x14ac:dyDescent="0.45">
      <c r="A23" s="1" t="s">
        <v>21</v>
      </c>
      <c r="B23" s="1"/>
      <c r="C23" s="1"/>
      <c r="D23" s="1"/>
      <c r="E23" s="1"/>
      <c r="F23" s="1"/>
      <c r="G23" s="1"/>
      <c r="H23" s="1"/>
      <c r="I23" s="1"/>
      <c r="J23" s="21"/>
      <c r="M23">
        <v>1</v>
      </c>
      <c r="N23">
        <f>M23*8.56+1</f>
        <v>9.56</v>
      </c>
      <c r="O23" s="2">
        <f>E30</f>
        <v>9.1006925583921792</v>
      </c>
      <c r="P23" s="2">
        <f>O23/(0.79/1000)</f>
        <v>11519.863997964783</v>
      </c>
      <c r="Q23">
        <f>((O23-O22)/(0.43/1000))/(M23-M22)</f>
        <v>21164.401298586465</v>
      </c>
      <c r="R23">
        <f t="shared" ref="R23:R28" si="5">(O23-O22)/1</f>
        <v>9.1006925583921792</v>
      </c>
      <c r="S23" t="s">
        <v>50</v>
      </c>
      <c r="T23" s="2">
        <f>T22+N23-O23</f>
        <v>1.4593074416078213</v>
      </c>
    </row>
    <row r="24" spans="1:20" x14ac:dyDescent="0.4">
      <c r="A24" s="22" t="s">
        <v>0</v>
      </c>
      <c r="B24" s="23" t="s">
        <v>2</v>
      </c>
      <c r="C24" s="24" t="s">
        <v>1</v>
      </c>
      <c r="D24" s="24" t="s">
        <v>11</v>
      </c>
      <c r="E24" s="8" t="s">
        <v>7</v>
      </c>
      <c r="F24" s="25" t="s">
        <v>47</v>
      </c>
      <c r="G24" s="22" t="s">
        <v>12</v>
      </c>
      <c r="H24" s="15" t="s">
        <v>8</v>
      </c>
      <c r="I24" s="15" t="s">
        <v>7</v>
      </c>
      <c r="J24" s="20"/>
      <c r="M24">
        <v>2</v>
      </c>
      <c r="N24">
        <f t="shared" ref="N24:N35" si="6">M24*8.56+1</f>
        <v>18.12</v>
      </c>
      <c r="O24" s="2">
        <f>E51</f>
        <v>11.08257289700021</v>
      </c>
      <c r="P24" s="2">
        <f t="shared" ref="P24:P34" si="7">O24/(0.79/1000)</f>
        <v>14028.573287342038</v>
      </c>
      <c r="Q24">
        <f t="shared" ref="Q24:Q35" si="8">((O24-O23)/(0.43/1000))/(M24-M23)</f>
        <v>4609.0240432744904</v>
      </c>
      <c r="R24">
        <f t="shared" si="5"/>
        <v>1.9818803386080308</v>
      </c>
      <c r="T24" s="2">
        <f>T23+N24-O24</f>
        <v>8.4967345446076141</v>
      </c>
    </row>
    <row r="25" spans="1:20" x14ac:dyDescent="0.4">
      <c r="A25" s="22" t="s">
        <v>3</v>
      </c>
      <c r="B25" s="26">
        <v>3.1</v>
      </c>
      <c r="C25" s="27">
        <v>6628.9</v>
      </c>
      <c r="D25" s="28">
        <f>C25/C27</f>
        <v>53.372785829307567</v>
      </c>
      <c r="E25" s="29">
        <f>(D26+0.0045)/0.0056</f>
        <v>7.5035944329422595</v>
      </c>
      <c r="F25" s="29">
        <f>(E25*120.15)/1000</f>
        <v>0.90155687111801253</v>
      </c>
      <c r="G25" s="35">
        <f>(C26/(C25+C26))</f>
        <v>7.0248855817992158E-4</v>
      </c>
      <c r="H25" s="19">
        <f>((G25*1000)/1.1)</f>
        <v>0.63862596198174693</v>
      </c>
      <c r="I25" s="19">
        <f>(H25/120.15)*1000</f>
        <v>5.3152389678048015</v>
      </c>
      <c r="J25" s="20"/>
      <c r="M25">
        <v>3</v>
      </c>
      <c r="N25">
        <f t="shared" si="6"/>
        <v>26.68</v>
      </c>
      <c r="O25" s="2">
        <f>E62</f>
        <v>12.809221146085553</v>
      </c>
      <c r="P25" s="2">
        <f t="shared" si="7"/>
        <v>16214.203982386776</v>
      </c>
      <c r="Q25">
        <f t="shared" si="8"/>
        <v>4015.4610443845195</v>
      </c>
      <c r="R25">
        <f t="shared" si="5"/>
        <v>1.7266482490853434</v>
      </c>
      <c r="T25" s="2">
        <f t="shared" ref="T25:T35" si="9">T24+N25-O25</f>
        <v>22.367513398522057</v>
      </c>
    </row>
    <row r="26" spans="1:20" x14ac:dyDescent="0.4">
      <c r="A26" s="22" t="s">
        <v>5</v>
      </c>
      <c r="B26" s="26">
        <v>4.83</v>
      </c>
      <c r="C26" s="27">
        <v>4.66</v>
      </c>
      <c r="D26" s="18">
        <f>C26/C27</f>
        <v>3.7520128824476653E-2</v>
      </c>
      <c r="E26" s="29"/>
      <c r="F26" s="29"/>
      <c r="G26" s="28"/>
      <c r="H26" s="20"/>
      <c r="I26" s="20"/>
      <c r="J26" s="20"/>
      <c r="M26">
        <v>4</v>
      </c>
      <c r="N26">
        <f t="shared" si="6"/>
        <v>35.24</v>
      </c>
      <c r="O26" s="2">
        <f>E73</f>
        <v>15.783400569530137</v>
      </c>
      <c r="P26" s="2">
        <f t="shared" si="7"/>
        <v>19978.988062696375</v>
      </c>
      <c r="Q26">
        <f t="shared" si="8"/>
        <v>6916.6963335920555</v>
      </c>
      <c r="R26">
        <f t="shared" si="5"/>
        <v>2.9741794234445837</v>
      </c>
      <c r="T26" s="2">
        <f t="shared" si="9"/>
        <v>41.824112828991922</v>
      </c>
    </row>
    <row r="27" spans="1:20" ht="15" thickBot="1" x14ac:dyDescent="0.45">
      <c r="A27" s="22" t="s">
        <v>4</v>
      </c>
      <c r="B27" s="30">
        <v>6.2119999999999997</v>
      </c>
      <c r="C27" s="31">
        <v>124.2</v>
      </c>
      <c r="D27" s="31"/>
      <c r="E27" s="32"/>
      <c r="F27" s="32"/>
      <c r="G27" s="36">
        <f>C27/(C25+C26+C27)</f>
        <v>1.8378871105218301E-2</v>
      </c>
      <c r="H27" s="20"/>
      <c r="I27" s="20"/>
      <c r="J27" s="20"/>
      <c r="M27">
        <v>5</v>
      </c>
      <c r="N27">
        <f t="shared" si="6"/>
        <v>43.800000000000004</v>
      </c>
      <c r="O27" s="2">
        <f>E84</f>
        <v>21.61452738990333</v>
      </c>
      <c r="P27" s="2">
        <f t="shared" si="7"/>
        <v>27360.161253042188</v>
      </c>
      <c r="Q27">
        <f t="shared" si="8"/>
        <v>13560.760047379519</v>
      </c>
      <c r="R27">
        <f t="shared" si="5"/>
        <v>5.8311268203731927</v>
      </c>
      <c r="T27" s="2">
        <f t="shared" si="9"/>
        <v>64.009585439088596</v>
      </c>
    </row>
    <row r="28" spans="1:20" ht="15" thickBot="1" x14ac:dyDescent="0.45">
      <c r="A28" s="1" t="s">
        <v>22</v>
      </c>
      <c r="B28" s="33"/>
      <c r="C28" s="33"/>
      <c r="D28" s="33"/>
      <c r="E28" s="33"/>
      <c r="F28" s="33"/>
      <c r="G28" s="1"/>
      <c r="H28" s="1"/>
      <c r="I28" s="1"/>
      <c r="J28" s="34"/>
      <c r="M28">
        <v>6</v>
      </c>
      <c r="N28">
        <f t="shared" si="6"/>
        <v>52.36</v>
      </c>
      <c r="O28" s="2">
        <f>E95</f>
        <v>28.427880820836627</v>
      </c>
      <c r="P28" s="2">
        <f t="shared" si="7"/>
        <v>35984.659266881805</v>
      </c>
      <c r="Q28">
        <f t="shared" si="8"/>
        <v>15845.007978914646</v>
      </c>
      <c r="R28">
        <f t="shared" si="5"/>
        <v>6.8133534309332973</v>
      </c>
      <c r="T28" s="2">
        <f t="shared" si="9"/>
        <v>87.941704618251975</v>
      </c>
    </row>
    <row r="29" spans="1:20" x14ac:dyDescent="0.4">
      <c r="A29" s="22" t="s">
        <v>0</v>
      </c>
      <c r="B29" s="23" t="s">
        <v>2</v>
      </c>
      <c r="C29" s="24" t="s">
        <v>1</v>
      </c>
      <c r="D29" s="24" t="s">
        <v>11</v>
      </c>
      <c r="E29" s="8" t="s">
        <v>7</v>
      </c>
      <c r="F29" s="25" t="s">
        <v>47</v>
      </c>
      <c r="G29" s="22" t="s">
        <v>12</v>
      </c>
      <c r="H29" s="15" t="s">
        <v>8</v>
      </c>
      <c r="I29" s="15" t="s">
        <v>7</v>
      </c>
      <c r="J29" s="34"/>
      <c r="M29">
        <v>18</v>
      </c>
      <c r="N29">
        <f t="shared" si="6"/>
        <v>155.08000000000001</v>
      </c>
      <c r="O29" s="2">
        <f>E106</f>
        <v>101.02223032069971</v>
      </c>
      <c r="P29" s="2">
        <f t="shared" si="7"/>
        <v>127876.24091227811</v>
      </c>
      <c r="Q29">
        <f t="shared" si="8"/>
        <v>14068.672383694398</v>
      </c>
      <c r="R29">
        <f>(O29-O28)/12</f>
        <v>6.0495291249885907</v>
      </c>
      <c r="T29" s="2">
        <f t="shared" si="9"/>
        <v>141.9994742975523</v>
      </c>
    </row>
    <row r="30" spans="1:20" x14ac:dyDescent="0.4">
      <c r="A30" s="22" t="s">
        <v>3</v>
      </c>
      <c r="B30" s="26">
        <v>3.14</v>
      </c>
      <c r="C30" s="20">
        <v>6994.7</v>
      </c>
      <c r="D30" s="28">
        <f>C30/C32</f>
        <v>53.191634980988589</v>
      </c>
      <c r="E30" s="29">
        <f>(D31+0.0045)/0.0056</f>
        <v>9.1006925583921792</v>
      </c>
      <c r="F30" s="29">
        <f>(E30*120.15)/1000</f>
        <v>1.0934482108908203</v>
      </c>
      <c r="G30" s="35">
        <f>(C31/(C30+C31))</f>
        <v>8.7275615250235344E-4</v>
      </c>
      <c r="H30" s="19">
        <f>((G30*1000)/1.1)</f>
        <v>0.79341468409304849</v>
      </c>
      <c r="I30" s="19">
        <f>(H30/120.15)*1000</f>
        <v>6.6035346158389387</v>
      </c>
      <c r="J30" s="34"/>
      <c r="M30">
        <v>20</v>
      </c>
      <c r="N30">
        <f t="shared" si="6"/>
        <v>172.20000000000002</v>
      </c>
      <c r="O30" s="2">
        <f>E127</f>
        <v>102.84438775510205</v>
      </c>
      <c r="P30" s="2">
        <f t="shared" si="7"/>
        <v>130182.76931025575</v>
      </c>
      <c r="Q30">
        <f t="shared" si="8"/>
        <v>2118.7877144213285</v>
      </c>
      <c r="R30">
        <f>(O30-O29)/2</f>
        <v>0.91107871720117117</v>
      </c>
      <c r="T30" s="2">
        <f t="shared" si="9"/>
        <v>211.35508654245029</v>
      </c>
    </row>
    <row r="31" spans="1:20" x14ac:dyDescent="0.4">
      <c r="A31" s="22" t="s">
        <v>5</v>
      </c>
      <c r="B31" s="26">
        <v>4.83</v>
      </c>
      <c r="C31" s="20">
        <v>6.11</v>
      </c>
      <c r="D31" s="18">
        <f>C31/C32</f>
        <v>4.6463878326996201E-2</v>
      </c>
      <c r="E31" s="29"/>
      <c r="F31" s="29"/>
      <c r="G31" s="28"/>
      <c r="H31" s="20"/>
      <c r="I31" s="20"/>
      <c r="J31" s="34"/>
      <c r="M31">
        <v>22</v>
      </c>
      <c r="N31">
        <f t="shared" si="6"/>
        <v>189.32000000000002</v>
      </c>
      <c r="O31" s="2">
        <f>E138</f>
        <v>104.34010004653327</v>
      </c>
      <c r="P31" s="2">
        <f t="shared" si="7"/>
        <v>132076.07600826994</v>
      </c>
      <c r="Q31">
        <f t="shared" si="8"/>
        <v>1739.2003388735093</v>
      </c>
      <c r="R31">
        <f>(O31-O30)/2</f>
        <v>0.74785614571560899</v>
      </c>
      <c r="T31" s="2">
        <f t="shared" si="9"/>
        <v>296.33498649591706</v>
      </c>
    </row>
    <row r="32" spans="1:20" ht="15" thickBot="1" x14ac:dyDescent="0.45">
      <c r="A32" s="22" t="s">
        <v>4</v>
      </c>
      <c r="B32" s="30">
        <v>6.2119999999999997</v>
      </c>
      <c r="C32" s="31">
        <v>131.5</v>
      </c>
      <c r="D32" s="31"/>
      <c r="E32" s="32"/>
      <c r="F32" s="32"/>
      <c r="G32" s="36">
        <f>C32/(C30+C31+C32)</f>
        <v>1.8437224405557246E-2</v>
      </c>
      <c r="H32" s="20"/>
      <c r="I32" s="20"/>
      <c r="J32" s="34"/>
      <c r="M32">
        <v>24</v>
      </c>
      <c r="N32">
        <f t="shared" si="6"/>
        <v>206.44</v>
      </c>
      <c r="O32" s="2">
        <f>E149</f>
        <v>108.53190866510536</v>
      </c>
      <c r="P32" s="2">
        <f t="shared" si="7"/>
        <v>137382.16286722198</v>
      </c>
      <c r="Q32">
        <f t="shared" si="8"/>
        <v>4874.1960681070896</v>
      </c>
      <c r="R32">
        <f>(O32-O31)/2</f>
        <v>2.0959043092860483</v>
      </c>
      <c r="T32" s="2">
        <f t="shared" si="9"/>
        <v>394.24307783081167</v>
      </c>
    </row>
    <row r="33" spans="1:20" x14ac:dyDescent="0.4">
      <c r="A33" s="3" t="s">
        <v>13</v>
      </c>
      <c r="B33" s="3"/>
      <c r="C33" s="3"/>
      <c r="D33" s="3"/>
      <c r="E33" s="3"/>
      <c r="F33" s="3"/>
      <c r="G33" s="3"/>
      <c r="H33" s="3"/>
      <c r="I33" s="3"/>
      <c r="J33" s="3"/>
      <c r="M33">
        <v>44</v>
      </c>
      <c r="N33">
        <f t="shared" si="6"/>
        <v>377.64000000000004</v>
      </c>
      <c r="O33" s="2">
        <f>E160</f>
        <v>115.28838974614234</v>
      </c>
      <c r="P33" s="2">
        <f t="shared" si="7"/>
        <v>145934.67056473714</v>
      </c>
      <c r="Q33">
        <f t="shared" si="8"/>
        <v>785.6373350043001</v>
      </c>
      <c r="R33">
        <f>(O33-O32)/20</f>
        <v>0.33782405405184901</v>
      </c>
      <c r="T33" s="2">
        <f t="shared" si="9"/>
        <v>656.59468808466943</v>
      </c>
    </row>
    <row r="34" spans="1:20" ht="15" thickBot="1" x14ac:dyDescent="0.45">
      <c r="A34" s="1" t="s">
        <v>23</v>
      </c>
      <c r="B34" s="1"/>
      <c r="C34" s="1"/>
      <c r="D34" s="1"/>
      <c r="E34" s="1"/>
      <c r="F34" s="1"/>
      <c r="G34" s="1"/>
      <c r="H34" s="1"/>
      <c r="I34" s="1"/>
      <c r="J34" s="21"/>
      <c r="M34">
        <v>46</v>
      </c>
      <c r="N34">
        <f t="shared" si="6"/>
        <v>394.76000000000005</v>
      </c>
      <c r="O34" s="2">
        <f>E171</f>
        <v>115.99128473915161</v>
      </c>
      <c r="P34" s="2">
        <f t="shared" si="7"/>
        <v>146824.41106221723</v>
      </c>
      <c r="Q34">
        <f t="shared" si="8"/>
        <v>817.31975931310058</v>
      </c>
      <c r="R34">
        <f>(O34-O33)/20</f>
        <v>3.5144749650463325E-2</v>
      </c>
      <c r="T34" s="2">
        <f t="shared" si="9"/>
        <v>935.3634033455179</v>
      </c>
    </row>
    <row r="35" spans="1:20" x14ac:dyDescent="0.4">
      <c r="A35" s="22" t="s">
        <v>0</v>
      </c>
      <c r="B35" s="23" t="s">
        <v>2</v>
      </c>
      <c r="C35" s="24" t="s">
        <v>1</v>
      </c>
      <c r="D35" s="24" t="s">
        <v>11</v>
      </c>
      <c r="E35" s="8" t="s">
        <v>7</v>
      </c>
      <c r="F35" s="25" t="s">
        <v>47</v>
      </c>
      <c r="G35" s="22" t="s">
        <v>12</v>
      </c>
      <c r="H35" s="15" t="s">
        <v>8</v>
      </c>
      <c r="I35" s="15" t="s">
        <v>7</v>
      </c>
      <c r="J35" s="20"/>
      <c r="M35">
        <v>48</v>
      </c>
      <c r="N35">
        <f t="shared" si="6"/>
        <v>411.88</v>
      </c>
      <c r="O35" s="2">
        <f>E182</f>
        <v>115.47723642172524</v>
      </c>
      <c r="P35" s="2">
        <f>O35/(0.79/1000)</f>
        <v>146173.71698952562</v>
      </c>
      <c r="Q35">
        <f t="shared" si="8"/>
        <v>-597.73060165857225</v>
      </c>
      <c r="R35">
        <f>(O35-O34)/20</f>
        <v>-2.5702415871318607E-2</v>
      </c>
      <c r="T35" s="2">
        <f t="shared" si="9"/>
        <v>1231.7661669237928</v>
      </c>
    </row>
    <row r="36" spans="1:20" x14ac:dyDescent="0.4">
      <c r="A36" s="22" t="s">
        <v>3</v>
      </c>
      <c r="B36" s="26">
        <v>3.1</v>
      </c>
      <c r="C36" s="27">
        <v>3112.2</v>
      </c>
      <c r="D36" s="28">
        <f>C36/C38</f>
        <v>51.611940298507463</v>
      </c>
      <c r="E36" s="29">
        <f>(D37+0.0045)/0.0056</f>
        <v>48.481846718787033</v>
      </c>
      <c r="F36" s="29">
        <f>(E36*120.15)/1000</f>
        <v>5.8250938832622623</v>
      </c>
      <c r="G36" s="35">
        <f>(C37/(C36+C37))</f>
        <v>5.1465652271201617E-3</v>
      </c>
      <c r="H36" s="19">
        <f>((G36*1000)/1.1)</f>
        <v>4.6786956610183283</v>
      </c>
      <c r="I36" s="19">
        <f>(H36/120.15)*1000</f>
        <v>38.940454939811303</v>
      </c>
      <c r="J36" s="20"/>
    </row>
    <row r="37" spans="1:20" x14ac:dyDescent="0.4">
      <c r="A37" s="22" t="s">
        <v>5</v>
      </c>
      <c r="B37" s="26">
        <v>4.83</v>
      </c>
      <c r="C37" s="27">
        <v>16.100000000000001</v>
      </c>
      <c r="D37" s="18">
        <f>C37/C38</f>
        <v>0.26699834162520736</v>
      </c>
      <c r="E37" s="29"/>
      <c r="F37" s="29"/>
      <c r="G37" s="28"/>
      <c r="H37" s="20"/>
      <c r="I37" s="20"/>
      <c r="J37" s="20"/>
    </row>
    <row r="38" spans="1:20" ht="15" thickBot="1" x14ac:dyDescent="0.45">
      <c r="A38" s="22" t="s">
        <v>4</v>
      </c>
      <c r="B38" s="30">
        <v>6.2119999999999997</v>
      </c>
      <c r="C38" s="31">
        <v>60.3</v>
      </c>
      <c r="D38" s="31"/>
      <c r="E38" s="32"/>
      <c r="F38" s="32"/>
      <c r="G38" s="36">
        <f>C38/(C36+C37+C38)</f>
        <v>1.891112086809258E-2</v>
      </c>
      <c r="H38" s="20"/>
      <c r="I38" s="20"/>
      <c r="J38" s="20"/>
    </row>
    <row r="39" spans="1:20" ht="15" thickBot="1" x14ac:dyDescent="0.45">
      <c r="A39" s="1" t="s">
        <v>24</v>
      </c>
      <c r="B39" s="33"/>
      <c r="C39" s="33"/>
      <c r="D39" s="33"/>
      <c r="E39" s="33"/>
      <c r="F39" s="33"/>
      <c r="G39" s="1"/>
      <c r="H39" s="1"/>
      <c r="I39" s="1"/>
      <c r="J39" s="34"/>
    </row>
    <row r="40" spans="1:20" x14ac:dyDescent="0.4">
      <c r="A40" s="22" t="s">
        <v>0</v>
      </c>
      <c r="B40" s="23" t="s">
        <v>2</v>
      </c>
      <c r="C40" s="24" t="s">
        <v>1</v>
      </c>
      <c r="D40" s="24" t="s">
        <v>11</v>
      </c>
      <c r="E40" s="8" t="s">
        <v>7</v>
      </c>
      <c r="F40" s="25" t="s">
        <v>47</v>
      </c>
      <c r="G40" s="22" t="s">
        <v>12</v>
      </c>
      <c r="H40" s="15" t="s">
        <v>8</v>
      </c>
      <c r="I40" s="15" t="s">
        <v>7</v>
      </c>
      <c r="J40" s="34"/>
    </row>
    <row r="41" spans="1:20" x14ac:dyDescent="0.4">
      <c r="A41" s="22" t="s">
        <v>3</v>
      </c>
      <c r="B41" s="26">
        <v>3.14</v>
      </c>
      <c r="C41" s="20">
        <v>4458.1000000000004</v>
      </c>
      <c r="D41" s="28">
        <f>C41/C43</f>
        <v>50.717861205915817</v>
      </c>
      <c r="E41" s="29">
        <f>(D42+0.0045)/0.0056</f>
        <v>41.840464001300177</v>
      </c>
      <c r="F41" s="29">
        <f>(E41*120.15)/1000</f>
        <v>5.0271317497562169</v>
      </c>
      <c r="G41" s="35">
        <f>(C42/(C41+C42))</f>
        <v>4.5106401982895295E-3</v>
      </c>
      <c r="H41" s="19">
        <f>((G41*1000)/1.1)</f>
        <v>4.1005819984450262</v>
      </c>
      <c r="I41" s="19">
        <f>(H41/120.15)*1000</f>
        <v>34.128855584228262</v>
      </c>
      <c r="J41" s="34"/>
    </row>
    <row r="42" spans="1:20" x14ac:dyDescent="0.4">
      <c r="A42" s="22" t="s">
        <v>5</v>
      </c>
      <c r="B42" s="26">
        <v>4.83</v>
      </c>
      <c r="C42" s="20">
        <v>20.2</v>
      </c>
      <c r="D42" s="18">
        <f>C42/C43</f>
        <v>0.22980659840728099</v>
      </c>
      <c r="E42" s="29"/>
      <c r="F42" s="29"/>
      <c r="G42" s="28"/>
      <c r="H42" s="20"/>
      <c r="I42" s="20"/>
      <c r="J42" s="34"/>
    </row>
    <row r="43" spans="1:20" ht="15" thickBot="1" x14ac:dyDescent="0.45">
      <c r="A43" s="22" t="s">
        <v>4</v>
      </c>
      <c r="B43" s="30">
        <v>6.2119999999999997</v>
      </c>
      <c r="C43" s="31">
        <v>87.9</v>
      </c>
      <c r="D43" s="31"/>
      <c r="E43" s="32"/>
      <c r="F43" s="32"/>
      <c r="G43" s="36">
        <f>C43/(C41+C42+C43)</f>
        <v>1.9250142350313172E-2</v>
      </c>
      <c r="H43" s="20"/>
      <c r="I43" s="20"/>
      <c r="J43" s="34"/>
    </row>
    <row r="44" spans="1:20" ht="15" thickBot="1" x14ac:dyDescent="0.45">
      <c r="A44" s="1" t="s">
        <v>25</v>
      </c>
      <c r="B44" s="33"/>
      <c r="C44" s="33"/>
      <c r="D44" s="33"/>
      <c r="E44" s="33"/>
      <c r="F44" s="33"/>
      <c r="G44" s="1"/>
      <c r="H44" s="1"/>
      <c r="I44" s="1"/>
      <c r="J44" s="34"/>
    </row>
    <row r="45" spans="1:20" x14ac:dyDescent="0.4">
      <c r="A45" t="s">
        <v>0</v>
      </c>
      <c r="B45" s="23" t="s">
        <v>2</v>
      </c>
      <c r="C45" s="24" t="s">
        <v>1</v>
      </c>
      <c r="D45" s="24" t="s">
        <v>11</v>
      </c>
      <c r="E45" s="8" t="s">
        <v>7</v>
      </c>
      <c r="F45" s="25" t="s">
        <v>47</v>
      </c>
      <c r="G45" s="22" t="s">
        <v>12</v>
      </c>
      <c r="H45" s="15" t="s">
        <v>8</v>
      </c>
      <c r="I45" s="15" t="s">
        <v>7</v>
      </c>
      <c r="J45" s="15"/>
    </row>
    <row r="46" spans="1:20" x14ac:dyDescent="0.4">
      <c r="A46" t="s">
        <v>3</v>
      </c>
      <c r="B46" s="13">
        <v>3.1</v>
      </c>
      <c r="C46" s="20">
        <v>6499</v>
      </c>
      <c r="D46" s="5">
        <f>C46/C48</f>
        <v>52.794476035743301</v>
      </c>
      <c r="E46" s="29">
        <f>(D47+0.0045)/0.0056</f>
        <v>15.04866833004526</v>
      </c>
      <c r="F46" s="29">
        <f>(E46*120.15)/1000</f>
        <v>1.808097499854938</v>
      </c>
      <c r="G46" s="35">
        <f>(C47/(C46+C47))</f>
        <v>1.5087220110557675E-3</v>
      </c>
      <c r="H46" s="19">
        <f>((G46*1000)/1.1)</f>
        <v>1.3715654645961521</v>
      </c>
      <c r="I46" s="19">
        <f>(H46/120.15)*1000</f>
        <v>11.415442901341258</v>
      </c>
      <c r="J46" s="15"/>
    </row>
    <row r="47" spans="1:20" x14ac:dyDescent="0.4">
      <c r="A47" t="s">
        <v>5</v>
      </c>
      <c r="B47" s="13">
        <v>4.83</v>
      </c>
      <c r="C47" s="20">
        <v>9.82</v>
      </c>
      <c r="D47" s="19">
        <f>C47/C48</f>
        <v>7.9772542648253453E-2</v>
      </c>
      <c r="E47" s="9"/>
      <c r="F47" s="29"/>
      <c r="G47" s="28"/>
      <c r="H47" s="20"/>
      <c r="I47" s="20"/>
      <c r="J47" s="15"/>
    </row>
    <row r="48" spans="1:20" ht="15" thickBot="1" x14ac:dyDescent="0.45">
      <c r="A48" t="s">
        <v>4</v>
      </c>
      <c r="B48" s="14">
        <v>6.2119999999999997</v>
      </c>
      <c r="C48" s="11">
        <v>123.1</v>
      </c>
      <c r="D48" s="11"/>
      <c r="E48" s="16"/>
      <c r="F48" s="32"/>
      <c r="G48" s="36">
        <f>C48/(C46+C47+C48)</f>
        <v>1.8561743808731105E-2</v>
      </c>
      <c r="H48" s="20"/>
      <c r="I48" s="20"/>
      <c r="J48" s="15"/>
    </row>
    <row r="49" spans="1:10" ht="15" thickBot="1" x14ac:dyDescent="0.45">
      <c r="A49" s="1" t="s">
        <v>26</v>
      </c>
      <c r="B49" s="33"/>
      <c r="C49" s="33"/>
      <c r="D49" s="33"/>
      <c r="E49" s="33"/>
      <c r="F49" s="33"/>
      <c r="G49" s="1"/>
      <c r="H49" s="1"/>
      <c r="I49" s="1"/>
      <c r="J49" s="34"/>
    </row>
    <row r="50" spans="1:10" x14ac:dyDescent="0.4">
      <c r="A50" t="s">
        <v>0</v>
      </c>
      <c r="B50" s="23" t="s">
        <v>2</v>
      </c>
      <c r="C50" s="24" t="s">
        <v>1</v>
      </c>
      <c r="D50" s="24" t="s">
        <v>11</v>
      </c>
      <c r="E50" s="8" t="s">
        <v>7</v>
      </c>
      <c r="F50" s="25" t="s">
        <v>47</v>
      </c>
      <c r="G50" s="22" t="s">
        <v>12</v>
      </c>
      <c r="H50" s="15" t="s">
        <v>8</v>
      </c>
      <c r="I50" s="15" t="s">
        <v>7</v>
      </c>
      <c r="J50" s="15"/>
    </row>
    <row r="51" spans="1:10" x14ac:dyDescent="0.4">
      <c r="A51" t="s">
        <v>3</v>
      </c>
      <c r="B51" s="13">
        <v>3.1</v>
      </c>
      <c r="C51" s="20">
        <v>7220.5</v>
      </c>
      <c r="D51" s="5">
        <f>C51/C53</f>
        <v>53.013950073421441</v>
      </c>
      <c r="E51" s="29">
        <f>(D52+0.0045)/0.0056</f>
        <v>11.08257289700021</v>
      </c>
      <c r="F51" s="29">
        <f>(E51*120.15)/1000</f>
        <v>1.3315711335745752</v>
      </c>
      <c r="G51" s="35">
        <f>(C52/(C51+C52))</f>
        <v>1.0846197052158586E-3</v>
      </c>
      <c r="H51" s="19">
        <f>((G51*1000)/1.1)</f>
        <v>0.98601791383259862</v>
      </c>
      <c r="I51" s="19">
        <f>(H51/120.15)*1000</f>
        <v>8.2065577514157191</v>
      </c>
      <c r="J51" s="15"/>
    </row>
    <row r="52" spans="1:10" x14ac:dyDescent="0.4">
      <c r="A52" t="s">
        <v>5</v>
      </c>
      <c r="B52" s="13">
        <v>4.83</v>
      </c>
      <c r="C52" s="20">
        <v>7.84</v>
      </c>
      <c r="D52" s="19">
        <f>C52/C53</f>
        <v>5.7562408223201175E-2</v>
      </c>
      <c r="E52" s="9"/>
      <c r="F52" s="29"/>
      <c r="G52" s="28"/>
      <c r="H52" s="20"/>
      <c r="I52" s="20"/>
      <c r="J52" s="15"/>
    </row>
    <row r="53" spans="1:10" ht="15" thickBot="1" x14ac:dyDescent="0.45">
      <c r="A53" t="s">
        <v>4</v>
      </c>
      <c r="B53" s="14">
        <v>6.2119999999999997</v>
      </c>
      <c r="C53" s="11">
        <v>136.19999999999999</v>
      </c>
      <c r="D53" s="11"/>
      <c r="E53" s="16"/>
      <c r="F53" s="32"/>
      <c r="G53" s="36">
        <f>C53/(C51+C52+C53)</f>
        <v>1.849402678239238E-2</v>
      </c>
      <c r="H53" s="20"/>
      <c r="I53" s="20"/>
      <c r="J53" s="15"/>
    </row>
    <row r="54" spans="1:10" x14ac:dyDescent="0.4">
      <c r="A54" s="3" t="s">
        <v>13</v>
      </c>
      <c r="B54" s="3"/>
      <c r="C54" s="3"/>
      <c r="D54" s="3"/>
      <c r="E54" s="3"/>
      <c r="F54" s="3"/>
      <c r="G54" s="3"/>
      <c r="H54" s="3"/>
      <c r="I54" s="3"/>
      <c r="J54" s="3"/>
    </row>
    <row r="55" spans="1:10" ht="15" thickBot="1" x14ac:dyDescent="0.45">
      <c r="A55" s="1" t="s">
        <v>27</v>
      </c>
      <c r="B55" s="1"/>
      <c r="C55" s="1"/>
      <c r="D55" s="1"/>
      <c r="E55" s="1"/>
      <c r="F55" s="1"/>
      <c r="G55" s="1"/>
      <c r="H55" s="1"/>
      <c r="I55" s="1"/>
      <c r="J55" s="21"/>
    </row>
    <row r="56" spans="1:10" x14ac:dyDescent="0.4">
      <c r="A56" s="22" t="s">
        <v>0</v>
      </c>
      <c r="B56" s="23" t="s">
        <v>2</v>
      </c>
      <c r="C56" s="24" t="s">
        <v>1</v>
      </c>
      <c r="D56" s="24" t="s">
        <v>11</v>
      </c>
      <c r="E56" s="8" t="s">
        <v>7</v>
      </c>
      <c r="F56" s="25" t="s">
        <v>47</v>
      </c>
      <c r="G56" s="22" t="s">
        <v>12</v>
      </c>
      <c r="H56" s="15" t="s">
        <v>8</v>
      </c>
      <c r="I56" s="15" t="s">
        <v>7</v>
      </c>
      <c r="J56" s="20"/>
    </row>
    <row r="57" spans="1:10" x14ac:dyDescent="0.4">
      <c r="A57" s="22" t="s">
        <v>3</v>
      </c>
      <c r="B57" s="26">
        <v>3.1</v>
      </c>
      <c r="C57" s="20">
        <v>6544.9</v>
      </c>
      <c r="D57" s="28">
        <f>C57/C59</f>
        <v>51.943650793650789</v>
      </c>
      <c r="E57" s="29">
        <f>(D58+0.0045)/0.0056</f>
        <v>27.447562358276645</v>
      </c>
      <c r="F57" s="29">
        <f>(E57*120.15)/1000</f>
        <v>3.2978246173469392</v>
      </c>
      <c r="G57" s="35">
        <f>(C58/(C57+C58))</f>
        <v>2.8642381583558058E-3</v>
      </c>
      <c r="H57" s="19">
        <f>((G57*1000)/1.1)</f>
        <v>2.6038528712325504</v>
      </c>
      <c r="I57" s="19">
        <f>(H57/120.15)*1000</f>
        <v>21.671684321535999</v>
      </c>
      <c r="J57" s="20"/>
    </row>
    <row r="58" spans="1:10" x14ac:dyDescent="0.4">
      <c r="A58" s="22" t="s">
        <v>5</v>
      </c>
      <c r="B58" s="26">
        <v>4.83</v>
      </c>
      <c r="C58" s="20">
        <v>18.8</v>
      </c>
      <c r="D58" s="18">
        <f>C58/C59</f>
        <v>0.1492063492063492</v>
      </c>
      <c r="E58" s="29"/>
      <c r="F58" s="29"/>
      <c r="G58" s="28"/>
      <c r="H58" s="20"/>
      <c r="I58" s="20"/>
      <c r="J58" s="20"/>
    </row>
    <row r="59" spans="1:10" ht="15" thickBot="1" x14ac:dyDescent="0.45">
      <c r="A59" s="22" t="s">
        <v>4</v>
      </c>
      <c r="B59" s="30">
        <v>6.2119999999999997</v>
      </c>
      <c r="C59" s="11">
        <v>126</v>
      </c>
      <c r="D59" s="31"/>
      <c r="E59" s="32"/>
      <c r="F59" s="32"/>
      <c r="G59" s="36">
        <f>C59/(C57+C58+C59)</f>
        <v>1.8834925332974574E-2</v>
      </c>
      <c r="H59" s="20"/>
      <c r="I59" s="20"/>
      <c r="J59" s="20"/>
    </row>
    <row r="60" spans="1:10" ht="15" thickBot="1" x14ac:dyDescent="0.45">
      <c r="A60" s="1" t="s">
        <v>28</v>
      </c>
      <c r="B60" s="33"/>
      <c r="C60" s="33"/>
      <c r="D60" s="33"/>
      <c r="E60" s="33"/>
      <c r="F60" s="33"/>
      <c r="G60" s="1"/>
      <c r="H60" s="1"/>
      <c r="I60" s="1"/>
      <c r="J60" s="34"/>
    </row>
    <row r="61" spans="1:10" x14ac:dyDescent="0.4">
      <c r="A61" s="22" t="s">
        <v>0</v>
      </c>
      <c r="B61" s="23" t="s">
        <v>2</v>
      </c>
      <c r="C61" s="24" t="s">
        <v>1</v>
      </c>
      <c r="D61" s="24" t="s">
        <v>11</v>
      </c>
      <c r="E61" s="8" t="s">
        <v>7</v>
      </c>
      <c r="F61" s="25" t="s">
        <v>47</v>
      </c>
      <c r="G61" s="22" t="s">
        <v>12</v>
      </c>
      <c r="H61" s="15" t="s">
        <v>8</v>
      </c>
      <c r="I61" s="15" t="s">
        <v>7</v>
      </c>
      <c r="J61" s="34"/>
    </row>
    <row r="62" spans="1:10" x14ac:dyDescent="0.4">
      <c r="A62" s="22" t="s">
        <v>3</v>
      </c>
      <c r="B62" s="26">
        <v>3.14</v>
      </c>
      <c r="C62" s="20">
        <v>6600.5</v>
      </c>
      <c r="D62" s="28">
        <f>C62/C64</f>
        <v>53.272800645681997</v>
      </c>
      <c r="E62" s="29">
        <f>(D63+0.0045)/0.0056</f>
        <v>12.809221146085553</v>
      </c>
      <c r="F62" s="29">
        <f>(E62*120.15)/1000</f>
        <v>1.5390279207021793</v>
      </c>
      <c r="G62" s="35">
        <f>(C63/(C62+C63))</f>
        <v>1.2604349030009851E-3</v>
      </c>
      <c r="H62" s="19">
        <f>((G62*1000)/1.1)</f>
        <v>1.1458499118190772</v>
      </c>
      <c r="I62" s="19">
        <f>(H62/120.15)*1000</f>
        <v>9.5368282298716363</v>
      </c>
      <c r="J62" s="34"/>
    </row>
    <row r="63" spans="1:10" x14ac:dyDescent="0.4">
      <c r="A63" s="22" t="s">
        <v>5</v>
      </c>
      <c r="B63" s="26">
        <v>4.83</v>
      </c>
      <c r="C63" s="20">
        <v>8.33</v>
      </c>
      <c r="D63" s="18">
        <f>C63/C64</f>
        <v>6.7231638418079095E-2</v>
      </c>
      <c r="E63" s="29"/>
      <c r="F63" s="29"/>
      <c r="G63" s="28"/>
      <c r="H63" s="20"/>
      <c r="I63" s="20"/>
      <c r="J63" s="34"/>
    </row>
    <row r="64" spans="1:10" ht="15" thickBot="1" x14ac:dyDescent="0.45">
      <c r="A64" s="22" t="s">
        <v>4</v>
      </c>
      <c r="B64" s="30">
        <v>6.2119999999999997</v>
      </c>
      <c r="C64" s="31">
        <v>123.9</v>
      </c>
      <c r="D64" s="31"/>
      <c r="E64" s="32"/>
      <c r="F64" s="32"/>
      <c r="G64" s="36">
        <f>C64/(C62+C63+C64)</f>
        <v>1.8402639048350374E-2</v>
      </c>
      <c r="H64" s="20"/>
      <c r="I64" s="20"/>
      <c r="J64" s="34"/>
    </row>
    <row r="65" spans="1:10" x14ac:dyDescent="0.4">
      <c r="A65" s="3" t="s">
        <v>13</v>
      </c>
      <c r="B65" s="3"/>
      <c r="C65" s="3"/>
      <c r="D65" s="3"/>
      <c r="E65" s="3"/>
      <c r="F65" s="3"/>
      <c r="G65" s="3"/>
      <c r="H65" s="3"/>
      <c r="I65" s="3"/>
      <c r="J65" s="3"/>
    </row>
    <row r="66" spans="1:10" ht="15" thickBot="1" x14ac:dyDescent="0.45">
      <c r="A66" s="1" t="s">
        <v>29</v>
      </c>
      <c r="B66" s="1"/>
      <c r="C66" s="1"/>
      <c r="D66" s="1"/>
      <c r="E66" s="1"/>
      <c r="F66" s="1"/>
      <c r="G66" s="1"/>
      <c r="H66" s="1"/>
      <c r="I66" s="1"/>
      <c r="J66" s="21"/>
    </row>
    <row r="67" spans="1:10" x14ac:dyDescent="0.4">
      <c r="A67" s="22" t="s">
        <v>0</v>
      </c>
      <c r="B67" s="23" t="s">
        <v>2</v>
      </c>
      <c r="C67" s="24" t="s">
        <v>1</v>
      </c>
      <c r="D67" s="24" t="s">
        <v>11</v>
      </c>
      <c r="E67" s="8" t="s">
        <v>7</v>
      </c>
      <c r="F67" s="25" t="s">
        <v>47</v>
      </c>
      <c r="G67" s="22" t="s">
        <v>12</v>
      </c>
      <c r="H67" s="15" t="s">
        <v>8</v>
      </c>
      <c r="I67" s="15" t="s">
        <v>7</v>
      </c>
      <c r="J67" s="20"/>
    </row>
    <row r="68" spans="1:10" x14ac:dyDescent="0.4">
      <c r="A68" s="22" t="s">
        <v>3</v>
      </c>
      <c r="B68" s="26">
        <v>3.1</v>
      </c>
      <c r="C68" s="20">
        <v>6395.7</v>
      </c>
      <c r="D68" s="28">
        <f>C68/C70</f>
        <v>51.45374094931617</v>
      </c>
      <c r="E68" s="29">
        <f>(D69+0.0045)/0.0056</f>
        <v>33.414765544190324</v>
      </c>
      <c r="F68" s="29">
        <f>(E68*120.15)/1000</f>
        <v>4.0147840801344676</v>
      </c>
      <c r="G68" s="35">
        <f>(C69/(C68+C69))</f>
        <v>3.5367069674685282E-3</v>
      </c>
      <c r="H68" s="19">
        <f>((G68*1000)/1.1)</f>
        <v>3.2151881522441164</v>
      </c>
      <c r="I68" s="19">
        <f>(H68/120.15)*1000</f>
        <v>26.759784870945619</v>
      </c>
      <c r="J68" s="20"/>
    </row>
    <row r="69" spans="1:10" x14ac:dyDescent="0.4">
      <c r="A69" s="22" t="s">
        <v>5</v>
      </c>
      <c r="B69" s="26">
        <v>4.83</v>
      </c>
      <c r="C69" s="20">
        <v>22.7</v>
      </c>
      <c r="D69" s="18">
        <f>C69/C70</f>
        <v>0.18262268704746581</v>
      </c>
      <c r="E69" s="29"/>
      <c r="F69" s="29"/>
      <c r="G69" s="28"/>
      <c r="H69" s="20"/>
      <c r="I69" s="20"/>
      <c r="J69" s="20"/>
    </row>
    <row r="70" spans="1:10" ht="15" thickBot="1" x14ac:dyDescent="0.45">
      <c r="A70" s="22" t="s">
        <v>4</v>
      </c>
      <c r="B70" s="30">
        <v>6.2119999999999997</v>
      </c>
      <c r="C70" s="11">
        <v>124.3</v>
      </c>
      <c r="D70" s="31"/>
      <c r="E70" s="32"/>
      <c r="F70" s="32"/>
      <c r="G70" s="36">
        <f>C70/(C68+C69+C70)</f>
        <v>1.8998272884283247E-2</v>
      </c>
      <c r="H70" s="20"/>
      <c r="I70" s="20"/>
      <c r="J70" s="20"/>
    </row>
    <row r="71" spans="1:10" ht="15" thickBot="1" x14ac:dyDescent="0.45">
      <c r="A71" s="1" t="s">
        <v>30</v>
      </c>
      <c r="B71" s="33"/>
      <c r="C71" s="33"/>
      <c r="D71" s="33"/>
      <c r="E71" s="33"/>
      <c r="F71" s="33"/>
      <c r="G71" s="1"/>
      <c r="H71" s="1"/>
      <c r="I71" s="1"/>
      <c r="J71" s="34"/>
    </row>
    <row r="72" spans="1:10" x14ac:dyDescent="0.4">
      <c r="A72" s="22" t="s">
        <v>0</v>
      </c>
      <c r="B72" s="23" t="s">
        <v>2</v>
      </c>
      <c r="C72" s="24" t="s">
        <v>1</v>
      </c>
      <c r="D72" s="24" t="s">
        <v>11</v>
      </c>
      <c r="E72" s="8" t="s">
        <v>7</v>
      </c>
      <c r="F72" s="25" t="s">
        <v>47</v>
      </c>
      <c r="G72" s="22" t="s">
        <v>12</v>
      </c>
      <c r="H72" s="15" t="s">
        <v>8</v>
      </c>
      <c r="I72" s="15" t="s">
        <v>7</v>
      </c>
      <c r="J72" s="34"/>
    </row>
    <row r="73" spans="1:10" x14ac:dyDescent="0.4">
      <c r="A73" s="22" t="s">
        <v>3</v>
      </c>
      <c r="B73" s="26">
        <v>3.14</v>
      </c>
      <c r="C73" s="20">
        <v>6399.6</v>
      </c>
      <c r="D73" s="28">
        <f>C73/C75</f>
        <v>53.152823920265782</v>
      </c>
      <c r="E73" s="29">
        <f>(D74+0.0045)/0.0056</f>
        <v>15.783400569530137</v>
      </c>
      <c r="F73" s="29">
        <f>(E73*120.15)/1000</f>
        <v>1.8963755784290461</v>
      </c>
      <c r="G73" s="35">
        <f>(C74/(C73+C74))</f>
        <v>1.5757367739519788E-3</v>
      </c>
      <c r="H73" s="19">
        <f>((G73*1000)/1.1)</f>
        <v>1.4324879763199805</v>
      </c>
      <c r="I73" s="19">
        <f>(H73/120.15)*1000</f>
        <v>11.922496681814236</v>
      </c>
      <c r="J73" s="34"/>
    </row>
    <row r="74" spans="1:10" x14ac:dyDescent="0.4">
      <c r="A74" s="22" t="s">
        <v>5</v>
      </c>
      <c r="B74" s="26">
        <v>4.83</v>
      </c>
      <c r="C74" s="20">
        <v>10.1</v>
      </c>
      <c r="D74" s="18">
        <f>C74/C75</f>
        <v>8.3887043189368765E-2</v>
      </c>
      <c r="E74" s="29"/>
      <c r="F74" s="29"/>
      <c r="G74" s="28"/>
      <c r="H74" s="20"/>
      <c r="I74" s="20"/>
      <c r="J74" s="34"/>
    </row>
    <row r="75" spans="1:10" ht="15" thickBot="1" x14ac:dyDescent="0.45">
      <c r="A75" s="22" t="s">
        <v>4</v>
      </c>
      <c r="B75" s="30">
        <v>6.2119999999999997</v>
      </c>
      <c r="C75" s="31">
        <v>120.4</v>
      </c>
      <c r="D75" s="31"/>
      <c r="E75" s="32"/>
      <c r="F75" s="32"/>
      <c r="G75" s="36">
        <f>C75/(C73+C74+C75)</f>
        <v>1.8437696206796219E-2</v>
      </c>
      <c r="H75" s="20"/>
      <c r="I75" s="20"/>
      <c r="J75" s="34"/>
    </row>
    <row r="76" spans="1:10" x14ac:dyDescent="0.4">
      <c r="A76" s="3" t="s">
        <v>13</v>
      </c>
      <c r="B76" s="3"/>
      <c r="C76" s="3"/>
      <c r="D76" s="3"/>
      <c r="E76" s="3"/>
      <c r="F76" s="3"/>
      <c r="G76" s="3"/>
      <c r="H76" s="3"/>
      <c r="I76" s="3"/>
      <c r="J76" s="3"/>
    </row>
    <row r="77" spans="1:10" ht="15" thickBot="1" x14ac:dyDescent="0.45">
      <c r="A77" s="1" t="s">
        <v>31</v>
      </c>
      <c r="B77" s="1"/>
      <c r="C77" s="1"/>
      <c r="D77" s="1"/>
      <c r="E77" s="1"/>
      <c r="F77" s="1"/>
      <c r="G77" s="1"/>
      <c r="H77" s="1"/>
      <c r="I77" s="1"/>
      <c r="J77" s="21"/>
    </row>
    <row r="78" spans="1:10" x14ac:dyDescent="0.4">
      <c r="A78" s="22" t="s">
        <v>0</v>
      </c>
      <c r="B78" s="23" t="s">
        <v>2</v>
      </c>
      <c r="C78" s="24" t="s">
        <v>1</v>
      </c>
      <c r="D78" s="24" t="s">
        <v>11</v>
      </c>
      <c r="E78" s="8" t="s">
        <v>7</v>
      </c>
      <c r="F78" s="25" t="s">
        <v>47</v>
      </c>
      <c r="G78" s="22" t="s">
        <v>12</v>
      </c>
      <c r="H78" s="15" t="s">
        <v>8</v>
      </c>
      <c r="I78" s="15" t="s">
        <v>7</v>
      </c>
      <c r="J78" s="20"/>
    </row>
    <row r="79" spans="1:10" x14ac:dyDescent="0.4">
      <c r="A79" s="22" t="s">
        <v>3</v>
      </c>
      <c r="B79" s="26">
        <v>3.1</v>
      </c>
      <c r="C79" s="20">
        <v>6479.2</v>
      </c>
      <c r="D79" s="28">
        <f>C79/C81</f>
        <v>50.579234972677597</v>
      </c>
      <c r="E79" s="29">
        <f>(D80+0.0045)/0.0056</f>
        <v>41.229577896732465</v>
      </c>
      <c r="F79" s="29">
        <f>(E79*120.15)/1000</f>
        <v>4.9537337842924059</v>
      </c>
      <c r="G79" s="35">
        <f>(C80/(C79+C80))</f>
        <v>4.4559171506714608E-3</v>
      </c>
      <c r="H79" s="19">
        <f>((G79*1000)/1.1)</f>
        <v>4.0508337733376907</v>
      </c>
      <c r="I79" s="19">
        <f>(H79/120.15)*1000</f>
        <v>33.714804605390682</v>
      </c>
      <c r="J79" s="20"/>
    </row>
    <row r="80" spans="1:10" x14ac:dyDescent="0.4">
      <c r="A80" s="22" t="s">
        <v>5</v>
      </c>
      <c r="B80" s="26">
        <v>4.83</v>
      </c>
      <c r="C80" s="20">
        <v>29</v>
      </c>
      <c r="D80" s="18">
        <f>C80/C81</f>
        <v>0.2263856362217018</v>
      </c>
      <c r="E80" s="29"/>
      <c r="F80" s="29"/>
      <c r="G80" s="28"/>
      <c r="H80" s="20"/>
      <c r="I80" s="20"/>
      <c r="J80" s="20"/>
    </row>
    <row r="81" spans="1:10" ht="15" thickBot="1" x14ac:dyDescent="0.45">
      <c r="A81" s="22" t="s">
        <v>4</v>
      </c>
      <c r="B81" s="30">
        <v>6.2119999999999997</v>
      </c>
      <c r="C81" s="11">
        <v>128.1</v>
      </c>
      <c r="D81" s="31"/>
      <c r="E81" s="32"/>
      <c r="F81" s="32"/>
      <c r="G81" s="36">
        <f>C81/(C79+C80+C81)</f>
        <v>1.9302924822566792E-2</v>
      </c>
      <c r="H81" s="20"/>
      <c r="I81" s="20"/>
      <c r="J81" s="20"/>
    </row>
    <row r="82" spans="1:10" ht="15" thickBot="1" x14ac:dyDescent="0.45">
      <c r="A82" s="1" t="s">
        <v>32</v>
      </c>
      <c r="B82" s="33"/>
      <c r="C82" s="33"/>
      <c r="D82" s="33"/>
      <c r="E82" s="33"/>
      <c r="F82" s="33"/>
      <c r="G82" s="1"/>
      <c r="H82" s="1"/>
      <c r="I82" s="1"/>
      <c r="J82" s="34"/>
    </row>
    <row r="83" spans="1:10" x14ac:dyDescent="0.4">
      <c r="A83" s="22" t="s">
        <v>0</v>
      </c>
      <c r="B83" s="23" t="s">
        <v>2</v>
      </c>
      <c r="C83" s="24" t="s">
        <v>1</v>
      </c>
      <c r="D83" s="24" t="s">
        <v>11</v>
      </c>
      <c r="E83" s="8" t="s">
        <v>7</v>
      </c>
      <c r="F83" s="25" t="s">
        <v>47</v>
      </c>
      <c r="G83" s="22" t="s">
        <v>12</v>
      </c>
      <c r="H83" s="15" t="s">
        <v>8</v>
      </c>
      <c r="I83" s="15" t="s">
        <v>7</v>
      </c>
      <c r="J83" s="34"/>
    </row>
    <row r="84" spans="1:10" x14ac:dyDescent="0.4">
      <c r="A84" s="22" t="s">
        <v>3</v>
      </c>
      <c r="B84" s="26">
        <v>3.14</v>
      </c>
      <c r="C84" s="20">
        <v>6884.2</v>
      </c>
      <c r="D84" s="28">
        <f>C84/C86</f>
        <v>51.760902255639095</v>
      </c>
      <c r="E84" s="29">
        <f>(D85+0.0045)/0.0056</f>
        <v>21.61452738990333</v>
      </c>
      <c r="F84" s="29">
        <f>(E84*120.15)/1000</f>
        <v>2.5969854658968852</v>
      </c>
      <c r="G84" s="35">
        <f>(C85/(C84+C85))</f>
        <v>2.2464744843978725E-3</v>
      </c>
      <c r="H84" s="19">
        <f>((G84*1000)/1.1)</f>
        <v>2.0422495312707931</v>
      </c>
      <c r="I84" s="19">
        <f>(H84/120.15)*1000</f>
        <v>16.997499219898401</v>
      </c>
      <c r="J84" s="34"/>
    </row>
    <row r="85" spans="1:10" x14ac:dyDescent="0.4">
      <c r="A85" s="22" t="s">
        <v>5</v>
      </c>
      <c r="B85" s="26">
        <v>4.83</v>
      </c>
      <c r="C85" s="20">
        <v>15.5</v>
      </c>
      <c r="D85" s="18">
        <f>C85/C86</f>
        <v>0.11654135338345864</v>
      </c>
      <c r="E85" s="29"/>
      <c r="F85" s="29"/>
      <c r="G85" s="28"/>
      <c r="H85" s="20"/>
      <c r="I85" s="20"/>
      <c r="J85" s="34"/>
    </row>
    <row r="86" spans="1:10" ht="15" thickBot="1" x14ac:dyDescent="0.45">
      <c r="A86" s="22" t="s">
        <v>4</v>
      </c>
      <c r="B86" s="30">
        <v>6.2119999999999997</v>
      </c>
      <c r="C86" s="31">
        <v>133</v>
      </c>
      <c r="D86" s="31"/>
      <c r="E86" s="32"/>
      <c r="F86" s="32"/>
      <c r="G86" s="36">
        <f>C86/(C84+C85+C86)</f>
        <v>1.8911655551921737E-2</v>
      </c>
      <c r="H86" s="20"/>
      <c r="I86" s="20"/>
      <c r="J86" s="34"/>
    </row>
    <row r="87" spans="1:10" x14ac:dyDescent="0.4">
      <c r="A87" s="3" t="s">
        <v>13</v>
      </c>
      <c r="B87" s="3"/>
      <c r="C87" s="3"/>
      <c r="D87" s="3"/>
      <c r="E87" s="3"/>
      <c r="F87" s="3"/>
      <c r="G87" s="3"/>
      <c r="H87" s="3"/>
      <c r="I87" s="3"/>
      <c r="J87" s="3"/>
    </row>
    <row r="88" spans="1:10" ht="15" thickBot="1" x14ac:dyDescent="0.45">
      <c r="A88" s="1" t="s">
        <v>33</v>
      </c>
      <c r="B88" s="1"/>
      <c r="C88" s="1"/>
      <c r="D88" s="1"/>
      <c r="E88" s="1"/>
      <c r="F88" s="1"/>
      <c r="G88" s="1"/>
      <c r="H88" s="1"/>
      <c r="I88" s="1"/>
      <c r="J88" s="21"/>
    </row>
    <row r="89" spans="1:10" x14ac:dyDescent="0.4">
      <c r="A89" s="22" t="s">
        <v>0</v>
      </c>
      <c r="B89" s="23" t="s">
        <v>2</v>
      </c>
      <c r="C89" s="24" t="s">
        <v>1</v>
      </c>
      <c r="D89" s="24" t="s">
        <v>11</v>
      </c>
      <c r="E89" s="8" t="s">
        <v>7</v>
      </c>
      <c r="F89" s="25" t="s">
        <v>47</v>
      </c>
      <c r="G89" s="22" t="s">
        <v>12</v>
      </c>
      <c r="H89" s="15" t="s">
        <v>8</v>
      </c>
      <c r="I89" s="15" t="s">
        <v>7</v>
      </c>
      <c r="J89" s="20"/>
    </row>
    <row r="90" spans="1:10" x14ac:dyDescent="0.4">
      <c r="A90" s="22" t="s">
        <v>3</v>
      </c>
      <c r="B90" s="26">
        <v>3.1</v>
      </c>
      <c r="C90" s="20">
        <v>6522.3</v>
      </c>
      <c r="D90" s="28">
        <f>C90/C92</f>
        <v>48.710231516056758</v>
      </c>
      <c r="E90" s="29">
        <f>(D91+0.0045)/0.0056</f>
        <v>49.080537181265342</v>
      </c>
      <c r="F90" s="29">
        <f>(E90*120.15)/1000</f>
        <v>5.8970265423290309</v>
      </c>
      <c r="G90" s="35">
        <f>(C91/(C90+C91))</f>
        <v>5.5195547762445689E-3</v>
      </c>
      <c r="H90" s="19">
        <f>((G90*1000)/1.1)</f>
        <v>5.0177770693132446</v>
      </c>
      <c r="I90" s="19">
        <f>(H90/120.15)*1000</f>
        <v>41.762605653876356</v>
      </c>
      <c r="J90" s="20"/>
    </row>
    <row r="91" spans="1:10" x14ac:dyDescent="0.4">
      <c r="A91" s="22" t="s">
        <v>5</v>
      </c>
      <c r="B91" s="26">
        <v>4.83</v>
      </c>
      <c r="C91" s="20">
        <v>36.200000000000003</v>
      </c>
      <c r="D91" s="18">
        <f>C91/C92</f>
        <v>0.2703510082150859</v>
      </c>
      <c r="E91" s="29"/>
      <c r="F91" s="29"/>
      <c r="G91" s="28"/>
      <c r="H91" s="20"/>
      <c r="I91" s="20"/>
      <c r="J91" s="20"/>
    </row>
    <row r="92" spans="1:10" ht="15" thickBot="1" x14ac:dyDescent="0.45">
      <c r="A92" s="22" t="s">
        <v>4</v>
      </c>
      <c r="B92" s="30">
        <v>6.2119999999999997</v>
      </c>
      <c r="C92" s="31">
        <v>133.9</v>
      </c>
      <c r="D92" s="31"/>
      <c r="E92" s="32"/>
      <c r="F92" s="32"/>
      <c r="G92" s="36">
        <f>C92/(C90+C91+C92)</f>
        <v>2.0007770007770011E-2</v>
      </c>
      <c r="H92" s="20"/>
      <c r="I92" s="20"/>
      <c r="J92" s="20"/>
    </row>
    <row r="93" spans="1:10" ht="15" thickBot="1" x14ac:dyDescent="0.45">
      <c r="A93" s="1" t="s">
        <v>34</v>
      </c>
      <c r="B93" s="33"/>
      <c r="C93" s="33"/>
      <c r="D93" s="33"/>
      <c r="E93" s="33"/>
      <c r="F93" s="33"/>
      <c r="G93" s="1"/>
      <c r="H93" s="1"/>
      <c r="I93" s="1"/>
      <c r="J93" s="34"/>
    </row>
    <row r="94" spans="1:10" x14ac:dyDescent="0.4">
      <c r="A94" s="22" t="s">
        <v>0</v>
      </c>
      <c r="B94" s="23" t="s">
        <v>2</v>
      </c>
      <c r="C94" s="24" t="s">
        <v>1</v>
      </c>
      <c r="D94" s="24" t="s">
        <v>11</v>
      </c>
      <c r="E94" s="8" t="s">
        <v>7</v>
      </c>
      <c r="F94" s="25" t="s">
        <v>47</v>
      </c>
      <c r="G94" s="22" t="s">
        <v>12</v>
      </c>
      <c r="H94" s="15" t="s">
        <v>8</v>
      </c>
      <c r="I94" s="15" t="s">
        <v>7</v>
      </c>
      <c r="J94" s="34"/>
    </row>
    <row r="95" spans="1:10" x14ac:dyDescent="0.4">
      <c r="A95" s="22" t="s">
        <v>3</v>
      </c>
      <c r="B95" s="26">
        <v>3.14</v>
      </c>
      <c r="C95" s="20">
        <v>6631.8</v>
      </c>
      <c r="D95" s="28">
        <f>C95/C97</f>
        <v>52.342541436464089</v>
      </c>
      <c r="E95" s="29">
        <f>(D96+0.0045)/0.0056</f>
        <v>28.427880820836627</v>
      </c>
      <c r="F95" s="29">
        <f>(E95*120.15)/1000</f>
        <v>3.4156098806235211</v>
      </c>
      <c r="G95" s="35">
        <f>(C96/(C95+C96))</f>
        <v>2.9467480530414648E-3</v>
      </c>
      <c r="H95" s="19">
        <f>((G95*1000)/1.1)</f>
        <v>2.6788618664013315</v>
      </c>
      <c r="I95" s="19">
        <f>(H95/120.15)*1000</f>
        <v>22.295978913036468</v>
      </c>
      <c r="J95" s="34"/>
    </row>
    <row r="96" spans="1:10" x14ac:dyDescent="0.4">
      <c r="A96" s="22" t="s">
        <v>5</v>
      </c>
      <c r="B96" s="26">
        <v>4.83</v>
      </c>
      <c r="C96" s="20">
        <v>19.600000000000001</v>
      </c>
      <c r="D96" s="18">
        <f>C96/C97</f>
        <v>0.1546961325966851</v>
      </c>
      <c r="E96" s="29"/>
      <c r="F96" s="29"/>
      <c r="G96" s="28"/>
      <c r="H96" s="20"/>
      <c r="I96" s="20"/>
      <c r="J96" s="34"/>
    </row>
    <row r="97" spans="1:10" ht="15" thickBot="1" x14ac:dyDescent="0.45">
      <c r="A97" s="22" t="s">
        <v>4</v>
      </c>
      <c r="B97" s="30">
        <v>6.2119999999999997</v>
      </c>
      <c r="C97" s="11">
        <v>126.7</v>
      </c>
      <c r="D97" s="31"/>
      <c r="E97" s="32"/>
      <c r="F97" s="32"/>
      <c r="G97" s="36">
        <f>C97/(C95+C96+C97)</f>
        <v>1.8692553960549415E-2</v>
      </c>
      <c r="H97" s="20"/>
      <c r="I97" s="20"/>
      <c r="J97" s="34"/>
    </row>
    <row r="98" spans="1:10" x14ac:dyDescent="0.4">
      <c r="A98" s="3" t="s">
        <v>37</v>
      </c>
      <c r="B98" s="3"/>
      <c r="C98" s="3"/>
      <c r="D98" s="3"/>
      <c r="E98" s="3"/>
      <c r="F98" s="3"/>
      <c r="G98" s="3"/>
      <c r="H98" s="3"/>
      <c r="I98" s="3"/>
      <c r="J98" s="3"/>
    </row>
    <row r="99" spans="1:10" ht="15" thickBot="1" x14ac:dyDescent="0.45">
      <c r="A99" s="1" t="s">
        <v>35</v>
      </c>
      <c r="B99" s="1"/>
      <c r="C99" s="1"/>
      <c r="D99" s="1"/>
      <c r="E99" s="1"/>
      <c r="F99" s="1"/>
      <c r="G99" s="1"/>
      <c r="H99" s="1"/>
      <c r="I99" s="1"/>
      <c r="J99" s="21"/>
    </row>
    <row r="100" spans="1:10" x14ac:dyDescent="0.4">
      <c r="A100" s="22" t="s">
        <v>0</v>
      </c>
      <c r="B100" s="23" t="s">
        <v>2</v>
      </c>
      <c r="C100" s="24" t="s">
        <v>1</v>
      </c>
      <c r="D100" s="24" t="s">
        <v>11</v>
      </c>
      <c r="E100" s="8" t="s">
        <v>7</v>
      </c>
      <c r="F100" s="25" t="s">
        <v>47</v>
      </c>
      <c r="G100" s="22" t="s">
        <v>12</v>
      </c>
      <c r="H100" s="15" t="s">
        <v>8</v>
      </c>
      <c r="I100" s="15" t="s">
        <v>7</v>
      </c>
      <c r="J100" s="20"/>
    </row>
    <row r="101" spans="1:10" x14ac:dyDescent="0.4">
      <c r="A101" s="22" t="s">
        <v>3</v>
      </c>
      <c r="B101" s="26">
        <v>3.1</v>
      </c>
      <c r="C101" s="20">
        <v>1340.4</v>
      </c>
      <c r="D101" s="28">
        <f>C101/C103</f>
        <v>44.979865771812079</v>
      </c>
      <c r="E101" s="29">
        <f>(D102+0.0045)/0.0056</f>
        <v>109.86397411313519</v>
      </c>
      <c r="F101" s="29">
        <f>(E101*120.15)/1000</f>
        <v>13.200156489693192</v>
      </c>
      <c r="G101" s="35">
        <f>(C102/(C101+C102))</f>
        <v>1.3396143088473427E-2</v>
      </c>
      <c r="H101" s="19">
        <f>((G101*1000)/1.1)</f>
        <v>12.178311898612206</v>
      </c>
      <c r="I101" s="19">
        <f>(H101/120.15)*1000</f>
        <v>101.35923344662676</v>
      </c>
      <c r="J101" s="20"/>
    </row>
    <row r="102" spans="1:10" x14ac:dyDescent="0.4">
      <c r="A102" s="22" t="s">
        <v>5</v>
      </c>
      <c r="B102" s="26">
        <v>4.83</v>
      </c>
      <c r="C102" s="20">
        <v>18.2</v>
      </c>
      <c r="D102" s="18">
        <f>C102/C103</f>
        <v>0.61073825503355705</v>
      </c>
      <c r="E102" s="29"/>
      <c r="F102" s="29"/>
      <c r="G102" s="28"/>
      <c r="H102" s="20"/>
      <c r="I102" s="20"/>
      <c r="J102" s="20"/>
    </row>
    <row r="103" spans="1:10" ht="15" thickBot="1" x14ac:dyDescent="0.45">
      <c r="A103" s="22" t="s">
        <v>4</v>
      </c>
      <c r="B103" s="30">
        <v>6.2119999999999997</v>
      </c>
      <c r="C103" s="31">
        <v>29.8</v>
      </c>
      <c r="D103" s="31"/>
      <c r="E103" s="32"/>
      <c r="F103" s="32"/>
      <c r="G103" s="36">
        <f>C103/(C101+C102+C103)</f>
        <v>2.1463555171420338E-2</v>
      </c>
      <c r="H103" s="20"/>
      <c r="I103" s="20"/>
      <c r="J103" s="20"/>
    </row>
    <row r="104" spans="1:10" ht="15" thickBot="1" x14ac:dyDescent="0.45">
      <c r="A104" s="1" t="s">
        <v>36</v>
      </c>
      <c r="B104" s="33"/>
      <c r="C104" s="33"/>
      <c r="D104" s="33"/>
      <c r="E104" s="33"/>
      <c r="F104" s="33"/>
      <c r="G104" s="1"/>
      <c r="H104" s="1"/>
      <c r="I104" s="1"/>
      <c r="J104" s="34"/>
    </row>
    <row r="105" spans="1:10" x14ac:dyDescent="0.4">
      <c r="A105" s="22" t="s">
        <v>0</v>
      </c>
      <c r="B105" s="23" t="s">
        <v>2</v>
      </c>
      <c r="C105" s="24" t="s">
        <v>1</v>
      </c>
      <c r="D105" s="24" t="s">
        <v>11</v>
      </c>
      <c r="E105" s="8" t="s">
        <v>7</v>
      </c>
      <c r="F105" s="25" t="s">
        <v>47</v>
      </c>
      <c r="G105" s="22" t="s">
        <v>12</v>
      </c>
      <c r="H105" s="15" t="s">
        <v>8</v>
      </c>
      <c r="I105" s="15" t="s">
        <v>7</v>
      </c>
      <c r="J105" s="34"/>
    </row>
    <row r="106" spans="1:10" x14ac:dyDescent="0.4">
      <c r="A106" s="22" t="s">
        <v>3</v>
      </c>
      <c r="B106" s="26">
        <v>3.14</v>
      </c>
      <c r="C106" s="20">
        <v>1470.2</v>
      </c>
      <c r="D106" s="28">
        <f>C106/C108</f>
        <v>50.006802721088441</v>
      </c>
      <c r="E106" s="29">
        <f>(D107+0.0045)/0.0056</f>
        <v>101.02223032069971</v>
      </c>
      <c r="F106" s="29">
        <f>(E106*120.15)/1000</f>
        <v>12.137820973032071</v>
      </c>
      <c r="G106" s="35">
        <f>(C107/(C106+C107))</f>
        <v>1.1098405865339342E-2</v>
      </c>
      <c r="H106" s="19">
        <f>((G106*1000)/1.1)</f>
        <v>10.08945987758122</v>
      </c>
      <c r="I106" s="19">
        <f>(H106/120.15)*1000</f>
        <v>83.97386498194939</v>
      </c>
      <c r="J106" s="34"/>
    </row>
    <row r="107" spans="1:10" x14ac:dyDescent="0.4">
      <c r="A107" s="22" t="s">
        <v>5</v>
      </c>
      <c r="B107" s="26">
        <v>4.83</v>
      </c>
      <c r="C107" s="20">
        <v>16.5</v>
      </c>
      <c r="D107" s="18">
        <f>C107/C108</f>
        <v>0.56122448979591844</v>
      </c>
      <c r="E107" s="29"/>
      <c r="F107" s="29"/>
      <c r="G107" s="28"/>
      <c r="H107" s="20"/>
      <c r="I107" s="20"/>
      <c r="J107" s="34"/>
    </row>
    <row r="108" spans="1:10" ht="15" thickBot="1" x14ac:dyDescent="0.45">
      <c r="A108" s="22" t="s">
        <v>4</v>
      </c>
      <c r="B108" s="30">
        <v>6.2119999999999997</v>
      </c>
      <c r="C108" s="11">
        <v>29.4</v>
      </c>
      <c r="D108" s="31"/>
      <c r="E108" s="32"/>
      <c r="F108" s="32"/>
      <c r="G108" s="36">
        <f>C108/(C106+C107+C108)</f>
        <v>1.93918606952048E-2</v>
      </c>
      <c r="H108" s="20"/>
      <c r="I108" s="20"/>
      <c r="J108" s="34"/>
    </row>
    <row r="109" spans="1:10" x14ac:dyDescent="0.4">
      <c r="A109" s="3" t="s">
        <v>37</v>
      </c>
      <c r="B109" s="3"/>
      <c r="C109" s="3"/>
      <c r="D109" s="3"/>
      <c r="E109" s="3"/>
      <c r="F109" s="3"/>
      <c r="G109" s="3"/>
      <c r="H109" s="3"/>
      <c r="I109" s="3"/>
      <c r="J109" s="3"/>
    </row>
    <row r="110" spans="1:10" ht="15" thickBot="1" x14ac:dyDescent="0.45">
      <c r="A110" s="1" t="s">
        <v>38</v>
      </c>
      <c r="B110" s="1"/>
      <c r="C110" s="1"/>
      <c r="D110" s="1"/>
      <c r="E110" s="1"/>
      <c r="F110" s="1"/>
      <c r="G110" s="1"/>
      <c r="H110" s="1"/>
      <c r="I110" s="1"/>
      <c r="J110" s="21"/>
    </row>
    <row r="111" spans="1:10" x14ac:dyDescent="0.4">
      <c r="A111" s="22" t="s">
        <v>0</v>
      </c>
      <c r="B111" s="23" t="s">
        <v>2</v>
      </c>
      <c r="C111" s="24" t="s">
        <v>1</v>
      </c>
      <c r="D111" s="24" t="s">
        <v>11</v>
      </c>
      <c r="E111" s="8" t="s">
        <v>7</v>
      </c>
      <c r="F111" s="25" t="s">
        <v>47</v>
      </c>
      <c r="G111" s="22" t="s">
        <v>12</v>
      </c>
      <c r="H111" s="15" t="s">
        <v>8</v>
      </c>
      <c r="I111" s="15" t="s">
        <v>7</v>
      </c>
      <c r="J111" s="20"/>
    </row>
    <row r="112" spans="1:10" x14ac:dyDescent="0.4">
      <c r="A112" s="22" t="s">
        <v>3</v>
      </c>
      <c r="B112" s="26">
        <v>3.1</v>
      </c>
      <c r="C112" s="27">
        <v>2413.8000000000002</v>
      </c>
      <c r="D112" s="28">
        <f>C112/C114</f>
        <v>47.236790606653621</v>
      </c>
      <c r="E112" s="29">
        <f>(D113+0.0045)/0.0056</f>
        <v>55.31852809616997</v>
      </c>
      <c r="F112" s="29">
        <f>(E112*120.15)/1000</f>
        <v>6.6465211507548219</v>
      </c>
      <c r="G112" s="35">
        <f>(C113/(C112+C113))</f>
        <v>6.4213386021239813E-3</v>
      </c>
      <c r="H112" s="19">
        <f>((G112*1000)/1.1)</f>
        <v>5.8375805473854374</v>
      </c>
      <c r="I112" s="19">
        <f>(H112/120.15)*1000</f>
        <v>48.585772346112662</v>
      </c>
      <c r="J112" s="20"/>
    </row>
    <row r="113" spans="1:10" x14ac:dyDescent="0.4">
      <c r="A113" s="22" t="s">
        <v>5</v>
      </c>
      <c r="B113" s="26">
        <v>4.83</v>
      </c>
      <c r="C113" s="27">
        <v>15.6</v>
      </c>
      <c r="D113" s="18">
        <f>C113/C114</f>
        <v>0.30528375733855184</v>
      </c>
      <c r="E113" s="29"/>
      <c r="F113" s="29"/>
      <c r="G113" s="28"/>
      <c r="H113" s="20"/>
      <c r="I113" s="20"/>
      <c r="J113" s="20"/>
    </row>
    <row r="114" spans="1:10" ht="15" thickBot="1" x14ac:dyDescent="0.45">
      <c r="A114" s="22" t="s">
        <v>4</v>
      </c>
      <c r="B114" s="30">
        <v>6.2119999999999997</v>
      </c>
      <c r="C114" s="31">
        <v>51.1</v>
      </c>
      <c r="D114" s="31"/>
      <c r="E114" s="32"/>
      <c r="F114" s="32"/>
      <c r="G114" s="36">
        <f>C114/(C112+C113+C114)</f>
        <v>2.0600685345696434E-2</v>
      </c>
      <c r="H114" s="20"/>
      <c r="I114" s="20"/>
      <c r="J114" s="20"/>
    </row>
    <row r="115" spans="1:10" ht="15" thickBot="1" x14ac:dyDescent="0.45">
      <c r="A115" s="1" t="s">
        <v>39</v>
      </c>
      <c r="B115" s="33"/>
      <c r="C115" s="33"/>
      <c r="D115" s="33"/>
      <c r="E115" s="33"/>
      <c r="F115" s="33"/>
      <c r="G115" s="1"/>
      <c r="H115" s="1"/>
      <c r="I115" s="1"/>
      <c r="J115" s="34"/>
    </row>
    <row r="116" spans="1:10" x14ac:dyDescent="0.4">
      <c r="A116" s="22" t="s">
        <v>0</v>
      </c>
      <c r="B116" s="23" t="s">
        <v>2</v>
      </c>
      <c r="C116" s="24" t="s">
        <v>1</v>
      </c>
      <c r="D116" s="24" t="s">
        <v>11</v>
      </c>
      <c r="E116" s="8" t="s">
        <v>7</v>
      </c>
      <c r="F116" s="25" t="s">
        <v>47</v>
      </c>
      <c r="G116" s="22" t="s">
        <v>12</v>
      </c>
      <c r="H116" s="15" t="s">
        <v>8</v>
      </c>
      <c r="I116" s="15" t="s">
        <v>7</v>
      </c>
      <c r="J116" s="34"/>
    </row>
    <row r="117" spans="1:10" x14ac:dyDescent="0.4">
      <c r="A117" s="22" t="s">
        <v>3</v>
      </c>
      <c r="B117" s="26">
        <v>3.14</v>
      </c>
      <c r="C117" s="20">
        <v>4093.2</v>
      </c>
      <c r="D117" s="28">
        <f>C117/C119</f>
        <v>48.961722488038276</v>
      </c>
      <c r="E117" s="29">
        <f>(D118+0.0045)/0.0056</f>
        <v>55.699333561175671</v>
      </c>
      <c r="F117" s="29">
        <f>(E117*120.15)/1000</f>
        <v>6.6922749273752569</v>
      </c>
      <c r="G117" s="35">
        <f>(C118/(C117+C118))</f>
        <v>6.2395299715943585E-3</v>
      </c>
      <c r="H117" s="19">
        <f>((G117*1000)/1.1)</f>
        <v>5.6722999741766893</v>
      </c>
      <c r="I117" s="19">
        <f>(H117/120.15)*1000</f>
        <v>47.210153759273318</v>
      </c>
      <c r="J117" s="34"/>
    </row>
    <row r="118" spans="1:10" x14ac:dyDescent="0.4">
      <c r="A118" s="22" t="s">
        <v>5</v>
      </c>
      <c r="B118" s="26">
        <v>4.83</v>
      </c>
      <c r="C118" s="20">
        <v>25.7</v>
      </c>
      <c r="D118" s="18">
        <f>C118/C119</f>
        <v>0.30741626794258375</v>
      </c>
      <c r="E118" s="29"/>
      <c r="F118" s="29"/>
      <c r="G118" s="28"/>
      <c r="H118" s="20"/>
      <c r="I118" s="20"/>
      <c r="J118" s="34"/>
    </row>
    <row r="119" spans="1:10" ht="15" thickBot="1" x14ac:dyDescent="0.45">
      <c r="A119" s="22" t="s">
        <v>4</v>
      </c>
      <c r="B119" s="30">
        <v>6.2119999999999997</v>
      </c>
      <c r="C119" s="31">
        <v>83.6</v>
      </c>
      <c r="D119" s="31"/>
      <c r="E119" s="32"/>
      <c r="F119" s="32"/>
      <c r="G119" s="36">
        <f>C119/(C117+C118+C119)</f>
        <v>1.9892920880428315E-2</v>
      </c>
      <c r="H119" s="20"/>
      <c r="I119" s="20"/>
      <c r="J119" s="34"/>
    </row>
    <row r="120" spans="1:10" ht="15" thickBot="1" x14ac:dyDescent="0.45">
      <c r="A120" s="1" t="s">
        <v>40</v>
      </c>
      <c r="B120" s="33"/>
      <c r="C120" s="33"/>
      <c r="D120" s="33"/>
      <c r="E120" s="33"/>
      <c r="F120" s="33"/>
      <c r="G120" s="1"/>
      <c r="H120" s="1"/>
      <c r="I120" s="1"/>
      <c r="J120" s="34"/>
    </row>
    <row r="121" spans="1:10" x14ac:dyDescent="0.4">
      <c r="A121" t="s">
        <v>0</v>
      </c>
      <c r="B121" s="23" t="s">
        <v>2</v>
      </c>
      <c r="C121" s="24" t="s">
        <v>1</v>
      </c>
      <c r="D121" s="24" t="s">
        <v>11</v>
      </c>
      <c r="E121" s="8" t="s">
        <v>7</v>
      </c>
      <c r="F121" s="25" t="s">
        <v>47</v>
      </c>
      <c r="G121" s="22" t="s">
        <v>12</v>
      </c>
      <c r="H121" s="15" t="s">
        <v>8</v>
      </c>
      <c r="I121" s="15" t="s">
        <v>7</v>
      </c>
      <c r="J121" s="15"/>
    </row>
    <row r="122" spans="1:10" x14ac:dyDescent="0.4">
      <c r="A122" t="s">
        <v>3</v>
      </c>
      <c r="B122" s="13">
        <v>3.1</v>
      </c>
      <c r="C122" s="20">
        <v>1247.7</v>
      </c>
      <c r="D122" s="5">
        <f>C122/C124</f>
        <v>43.322916666666664</v>
      </c>
      <c r="E122" s="29">
        <f>(D123+0.0045)/0.0056</f>
        <v>109.93055555555556</v>
      </c>
      <c r="F122" s="29">
        <f>(E122*120.15)/1000</f>
        <v>13.20815625</v>
      </c>
      <c r="G122" s="35">
        <f>(C123/(C122+C123))</f>
        <v>1.390974472457125E-2</v>
      </c>
      <c r="H122" s="19">
        <f>((G122*1000)/1.1)</f>
        <v>12.645222476882955</v>
      </c>
      <c r="I122" s="19">
        <f>(H122/120.15)*1000</f>
        <v>105.24529735233421</v>
      </c>
      <c r="J122" s="15"/>
    </row>
    <row r="123" spans="1:10" x14ac:dyDescent="0.4">
      <c r="A123" t="s">
        <v>5</v>
      </c>
      <c r="B123" s="13">
        <v>4.83</v>
      </c>
      <c r="C123" s="20">
        <v>17.600000000000001</v>
      </c>
      <c r="D123" s="19">
        <f>C123/C124</f>
        <v>0.61111111111111116</v>
      </c>
      <c r="E123" s="9"/>
      <c r="F123" s="29"/>
      <c r="G123" s="28"/>
      <c r="H123" s="20"/>
      <c r="I123" s="20"/>
      <c r="J123" s="15"/>
    </row>
    <row r="124" spans="1:10" ht="15" thickBot="1" x14ac:dyDescent="0.45">
      <c r="A124" t="s">
        <v>4</v>
      </c>
      <c r="B124" s="14">
        <v>6.2119999999999997</v>
      </c>
      <c r="C124" s="11">
        <v>28.8</v>
      </c>
      <c r="D124" s="11"/>
      <c r="E124" s="16"/>
      <c r="F124" s="32"/>
      <c r="G124" s="36">
        <f>C124/(C122+C123+C124)</f>
        <v>2.2254848929758136E-2</v>
      </c>
      <c r="H124" s="20"/>
      <c r="I124" s="20"/>
      <c r="J124" s="15"/>
    </row>
    <row r="125" spans="1:10" ht="15" thickBot="1" x14ac:dyDescent="0.45">
      <c r="A125" s="1" t="s">
        <v>41</v>
      </c>
      <c r="B125" s="33"/>
      <c r="C125" s="33"/>
      <c r="D125" s="33"/>
      <c r="E125" s="33"/>
      <c r="F125" s="33"/>
      <c r="G125" s="1"/>
      <c r="H125" s="1"/>
      <c r="I125" s="1"/>
      <c r="J125" s="34"/>
    </row>
    <row r="126" spans="1:10" x14ac:dyDescent="0.4">
      <c r="A126" t="s">
        <v>0</v>
      </c>
      <c r="B126" s="23" t="s">
        <v>2</v>
      </c>
      <c r="C126" s="24" t="s">
        <v>1</v>
      </c>
      <c r="D126" s="24" t="s">
        <v>11</v>
      </c>
      <c r="E126" s="8" t="s">
        <v>7</v>
      </c>
      <c r="F126" s="25" t="s">
        <v>47</v>
      </c>
      <c r="G126" s="22" t="s">
        <v>12</v>
      </c>
      <c r="H126" s="15" t="s">
        <v>8</v>
      </c>
      <c r="I126" s="15" t="s">
        <v>7</v>
      </c>
      <c r="J126" s="15"/>
    </row>
    <row r="127" spans="1:10" x14ac:dyDescent="0.4">
      <c r="A127" t="s">
        <v>3</v>
      </c>
      <c r="B127" s="13">
        <v>3.1</v>
      </c>
      <c r="C127" s="20">
        <v>1466.5</v>
      </c>
      <c r="D127" s="5">
        <f>C127/C129</f>
        <v>49.880952380952387</v>
      </c>
      <c r="E127" s="29">
        <f>(D128+0.0045)/0.0056</f>
        <v>102.84438775510205</v>
      </c>
      <c r="F127" s="29">
        <f>(E127*120.15)/1000</f>
        <v>12.356753188775512</v>
      </c>
      <c r="G127" s="35">
        <f>(C128/(C127+C128))</f>
        <v>1.1326097215667769E-2</v>
      </c>
      <c r="H127" s="19">
        <f>((G127*1000)/1.1)</f>
        <v>10.296452014243425</v>
      </c>
      <c r="I127" s="19">
        <f>(H127/120.15)*1000</f>
        <v>85.696645977889503</v>
      </c>
      <c r="J127" s="15"/>
    </row>
    <row r="128" spans="1:10" x14ac:dyDescent="0.4">
      <c r="A128" t="s">
        <v>5</v>
      </c>
      <c r="B128" s="13">
        <v>4.83</v>
      </c>
      <c r="C128" s="20">
        <v>16.8</v>
      </c>
      <c r="D128" s="19">
        <f>C128/C129</f>
        <v>0.57142857142857151</v>
      </c>
      <c r="E128" s="9"/>
      <c r="F128" s="29"/>
      <c r="G128" s="28"/>
      <c r="H128" s="20"/>
      <c r="I128" s="20"/>
      <c r="J128" s="15"/>
    </row>
    <row r="129" spans="1:10" ht="15" thickBot="1" x14ac:dyDescent="0.45">
      <c r="A129" t="s">
        <v>4</v>
      </c>
      <c r="B129" s="14">
        <v>6.2119999999999997</v>
      </c>
      <c r="C129" s="11">
        <v>29.4</v>
      </c>
      <c r="D129" s="11"/>
      <c r="E129" s="16"/>
      <c r="F129" s="32"/>
      <c r="G129" s="36">
        <f>C129/(C127+C128+C129)</f>
        <v>1.9435446552521978E-2</v>
      </c>
      <c r="H129" s="20"/>
      <c r="I129" s="20"/>
      <c r="J129" s="15"/>
    </row>
    <row r="130" spans="1:10" x14ac:dyDescent="0.4">
      <c r="A130" s="3" t="s">
        <v>37</v>
      </c>
      <c r="B130" s="3"/>
      <c r="C130" s="3"/>
      <c r="D130" s="3"/>
      <c r="E130" s="3"/>
      <c r="F130" s="3"/>
      <c r="G130" s="3"/>
      <c r="H130" s="3"/>
      <c r="I130" s="3"/>
      <c r="J130" s="3"/>
    </row>
    <row r="131" spans="1:10" ht="15" thickBot="1" x14ac:dyDescent="0.45">
      <c r="A131" s="1" t="s">
        <v>42</v>
      </c>
      <c r="B131" s="1"/>
      <c r="C131" s="1"/>
      <c r="D131" s="1"/>
      <c r="E131" s="1"/>
      <c r="F131" s="1"/>
      <c r="G131" s="1"/>
      <c r="H131" s="1"/>
      <c r="I131" s="1"/>
      <c r="J131" s="21"/>
    </row>
    <row r="132" spans="1:10" x14ac:dyDescent="0.4">
      <c r="A132" s="22" t="s">
        <v>0</v>
      </c>
      <c r="B132" s="23" t="s">
        <v>2</v>
      </c>
      <c r="C132" s="24" t="s">
        <v>1</v>
      </c>
      <c r="D132" s="24" t="s">
        <v>11</v>
      </c>
      <c r="E132" s="8" t="s">
        <v>7</v>
      </c>
      <c r="F132" s="25" t="s">
        <v>47</v>
      </c>
      <c r="G132" s="22" t="s">
        <v>12</v>
      </c>
      <c r="H132" s="15" t="s">
        <v>8</v>
      </c>
      <c r="I132" s="15" t="s">
        <v>7</v>
      </c>
      <c r="J132" s="20"/>
    </row>
    <row r="133" spans="1:10" x14ac:dyDescent="0.4">
      <c r="A133" s="22" t="s">
        <v>3</v>
      </c>
      <c r="B133" s="26">
        <v>3.1</v>
      </c>
      <c r="C133" s="20">
        <v>1245.0999999999999</v>
      </c>
      <c r="D133" s="28">
        <f>C133/C135</f>
        <v>42.640410958904106</v>
      </c>
      <c r="E133" s="29">
        <f>(D134+0.0045)/0.0056</f>
        <v>110.88184931506849</v>
      </c>
      <c r="F133" s="29">
        <f>(E133*120.15)/1000</f>
        <v>13.322454195205481</v>
      </c>
      <c r="G133" s="35">
        <f>(C134/(C133+C134))</f>
        <v>1.4250653154936269E-2</v>
      </c>
      <c r="H133" s="19">
        <f>((G133*1000)/1.1)</f>
        <v>12.955139231760244</v>
      </c>
      <c r="I133" s="19">
        <f>(H133/120.15)*1000</f>
        <v>107.82471270711812</v>
      </c>
      <c r="J133" s="20"/>
    </row>
    <row r="134" spans="1:10" x14ac:dyDescent="0.4">
      <c r="A134" s="22" t="s">
        <v>5</v>
      </c>
      <c r="B134" s="26">
        <v>4.83</v>
      </c>
      <c r="C134" s="20">
        <v>18</v>
      </c>
      <c r="D134" s="18">
        <f>C134/C135</f>
        <v>0.61643835616438358</v>
      </c>
      <c r="E134" s="29"/>
      <c r="F134" s="29"/>
      <c r="G134" s="28"/>
      <c r="H134" s="20"/>
      <c r="I134" s="20"/>
      <c r="J134" s="20"/>
    </row>
    <row r="135" spans="1:10" ht="15" thickBot="1" x14ac:dyDescent="0.45">
      <c r="A135" s="22" t="s">
        <v>4</v>
      </c>
      <c r="B135" s="30">
        <v>6.2119999999999997</v>
      </c>
      <c r="C135" s="31">
        <v>29.2</v>
      </c>
      <c r="D135" s="31"/>
      <c r="E135" s="32"/>
      <c r="F135" s="32"/>
      <c r="G135" s="36">
        <f>C135/(C133+C134+C135)</f>
        <v>2.2595372591503522E-2</v>
      </c>
      <c r="H135" s="20"/>
      <c r="I135" s="20"/>
      <c r="J135" s="20"/>
    </row>
    <row r="136" spans="1:10" ht="15" thickBot="1" x14ac:dyDescent="0.45">
      <c r="A136" s="1" t="s">
        <v>43</v>
      </c>
      <c r="B136" s="33"/>
      <c r="C136" s="33"/>
      <c r="D136" s="33"/>
      <c r="E136" s="33"/>
      <c r="F136" s="33"/>
      <c r="G136" s="1"/>
      <c r="H136" s="1"/>
      <c r="I136" s="1"/>
      <c r="J136" s="34"/>
    </row>
    <row r="137" spans="1:10" x14ac:dyDescent="0.4">
      <c r="A137" s="22" t="s">
        <v>0</v>
      </c>
      <c r="B137" s="23" t="s">
        <v>2</v>
      </c>
      <c r="C137" s="24" t="s">
        <v>1</v>
      </c>
      <c r="D137" s="24" t="s">
        <v>11</v>
      </c>
      <c r="E137" s="8" t="s">
        <v>7</v>
      </c>
      <c r="F137" s="25" t="s">
        <v>47</v>
      </c>
      <c r="G137" s="22" t="s">
        <v>12</v>
      </c>
      <c r="H137" s="15" t="s">
        <v>8</v>
      </c>
      <c r="I137" s="15" t="s">
        <v>7</v>
      </c>
      <c r="J137" s="34"/>
    </row>
    <row r="138" spans="1:10" x14ac:dyDescent="0.4">
      <c r="A138" s="22" t="s">
        <v>3</v>
      </c>
      <c r="B138" s="26">
        <v>3.14</v>
      </c>
      <c r="C138" s="20">
        <v>1530.7</v>
      </c>
      <c r="D138" s="28">
        <f>C138/C140</f>
        <v>49.859934853420199</v>
      </c>
      <c r="E138" s="29">
        <f>(D139+0.0045)/0.0056</f>
        <v>104.34010004653327</v>
      </c>
      <c r="F138" s="29">
        <f>(E138*120.15)/1000</f>
        <v>12.536463020590972</v>
      </c>
      <c r="G138" s="35">
        <f>(C139/(C138+C139))</f>
        <v>1.1494995156603165E-2</v>
      </c>
      <c r="H138" s="19">
        <f>((G138*1000)/1.1)</f>
        <v>10.449995596911968</v>
      </c>
      <c r="I138" s="19">
        <f>(H138/120.15)*1000</f>
        <v>86.974578417910678</v>
      </c>
      <c r="J138" s="34"/>
    </row>
    <row r="139" spans="1:10" x14ac:dyDescent="0.4">
      <c r="A139" s="22" t="s">
        <v>5</v>
      </c>
      <c r="B139" s="26">
        <v>4.83</v>
      </c>
      <c r="C139" s="20">
        <v>17.8</v>
      </c>
      <c r="D139" s="18">
        <f>C139/C140</f>
        <v>0.57980456026058635</v>
      </c>
      <c r="E139" s="29"/>
      <c r="F139" s="29"/>
      <c r="G139" s="28"/>
      <c r="H139" s="20"/>
      <c r="I139" s="20"/>
      <c r="J139" s="34"/>
    </row>
    <row r="140" spans="1:10" ht="15" thickBot="1" x14ac:dyDescent="0.45">
      <c r="A140" s="22" t="s">
        <v>4</v>
      </c>
      <c r="B140" s="30">
        <v>6.2119999999999997</v>
      </c>
      <c r="C140" s="11">
        <v>30.7</v>
      </c>
      <c r="D140" s="31"/>
      <c r="E140" s="32"/>
      <c r="F140" s="32"/>
      <c r="G140" s="36">
        <f>C140/(C138+C139+C140)</f>
        <v>1.9440222897669706E-2</v>
      </c>
      <c r="H140" s="20"/>
      <c r="I140" s="20"/>
      <c r="J140" s="34"/>
    </row>
    <row r="141" spans="1:10" x14ac:dyDescent="0.4">
      <c r="A141" s="3" t="s">
        <v>37</v>
      </c>
      <c r="B141" s="3"/>
      <c r="C141" s="3"/>
      <c r="D141" s="3"/>
      <c r="E141" s="3"/>
      <c r="F141" s="3"/>
      <c r="G141" s="3"/>
      <c r="H141" s="3"/>
      <c r="I141" s="3"/>
      <c r="J141" s="3"/>
    </row>
    <row r="142" spans="1:10" ht="15" thickBot="1" x14ac:dyDescent="0.45">
      <c r="A142" s="1" t="s">
        <v>44</v>
      </c>
      <c r="B142" s="1"/>
      <c r="C142" s="1"/>
      <c r="D142" s="1"/>
      <c r="E142" s="1"/>
      <c r="F142" s="1"/>
      <c r="G142" s="1"/>
      <c r="H142" s="1"/>
      <c r="I142" s="1"/>
      <c r="J142" s="21"/>
    </row>
    <row r="143" spans="1:10" x14ac:dyDescent="0.4">
      <c r="A143" s="22" t="s">
        <v>0</v>
      </c>
      <c r="B143" s="23" t="s">
        <v>2</v>
      </c>
      <c r="C143" s="24" t="s">
        <v>1</v>
      </c>
      <c r="D143" s="24" t="s">
        <v>11</v>
      </c>
      <c r="E143" s="8" t="s">
        <v>7</v>
      </c>
      <c r="F143" s="25" t="s">
        <v>47</v>
      </c>
      <c r="G143" s="22" t="s">
        <v>12</v>
      </c>
      <c r="H143" s="15" t="s">
        <v>8</v>
      </c>
      <c r="I143" s="15" t="s">
        <v>7</v>
      </c>
      <c r="J143" s="20"/>
    </row>
    <row r="144" spans="1:10" x14ac:dyDescent="0.4">
      <c r="A144" s="22" t="s">
        <v>3</v>
      </c>
      <c r="B144" s="26">
        <v>3.1</v>
      </c>
      <c r="C144" s="20">
        <v>1285</v>
      </c>
      <c r="D144" s="28">
        <f>C144/C146</f>
        <v>45.24647887323944</v>
      </c>
      <c r="E144" s="29">
        <f>(D145+0.0045)/0.0056</f>
        <v>113.3538732394366</v>
      </c>
      <c r="F144" s="29">
        <f>(E144*120.15)/1000</f>
        <v>13.619467869718308</v>
      </c>
      <c r="G144" s="35">
        <f>(C145/(C144+C145))</f>
        <v>1.3738583160641643E-2</v>
      </c>
      <c r="H144" s="19">
        <f>((G144*1000)/1.1)</f>
        <v>12.489621055128765</v>
      </c>
      <c r="I144" s="19">
        <f>(H144/120.15)*1000</f>
        <v>103.95023766232846</v>
      </c>
      <c r="J144" s="20"/>
    </row>
    <row r="145" spans="1:10" x14ac:dyDescent="0.4">
      <c r="A145" s="22" t="s">
        <v>5</v>
      </c>
      <c r="B145" s="26">
        <v>4.83</v>
      </c>
      <c r="C145" s="20">
        <v>17.899999999999999</v>
      </c>
      <c r="D145" s="18">
        <f>C145/C146</f>
        <v>0.63028169014084501</v>
      </c>
      <c r="E145" s="29"/>
      <c r="F145" s="29"/>
      <c r="G145" s="28"/>
      <c r="H145" s="20"/>
      <c r="I145" s="20"/>
      <c r="J145" s="20"/>
    </row>
    <row r="146" spans="1:10" ht="15" thickBot="1" x14ac:dyDescent="0.45">
      <c r="A146" s="22" t="s">
        <v>4</v>
      </c>
      <c r="B146" s="30">
        <v>6.2119999999999997</v>
      </c>
      <c r="C146" s="31">
        <v>28.4</v>
      </c>
      <c r="D146" s="31"/>
      <c r="E146" s="32"/>
      <c r="F146" s="32"/>
      <c r="G146" s="36">
        <f>C146/(C144+C145+C146)</f>
        <v>2.1332532111469987E-2</v>
      </c>
      <c r="H146" s="20"/>
      <c r="I146" s="20"/>
      <c r="J146" s="20"/>
    </row>
    <row r="147" spans="1:10" ht="15" thickBot="1" x14ac:dyDescent="0.45">
      <c r="A147" s="1" t="s">
        <v>45</v>
      </c>
      <c r="B147" s="33"/>
      <c r="C147" s="33"/>
      <c r="D147" s="33"/>
      <c r="E147" s="33"/>
      <c r="F147" s="33"/>
      <c r="G147" s="1"/>
      <c r="H147" s="1"/>
      <c r="I147" s="1"/>
      <c r="J147" s="34"/>
    </row>
    <row r="148" spans="1:10" x14ac:dyDescent="0.4">
      <c r="A148" s="22" t="s">
        <v>0</v>
      </c>
      <c r="B148" s="23" t="s">
        <v>2</v>
      </c>
      <c r="C148" s="24" t="s">
        <v>1</v>
      </c>
      <c r="D148" s="24" t="s">
        <v>11</v>
      </c>
      <c r="E148" s="8" t="s">
        <v>7</v>
      </c>
      <c r="F148" s="41" t="s">
        <v>47</v>
      </c>
      <c r="G148" s="22" t="s">
        <v>12</v>
      </c>
      <c r="H148" s="15" t="s">
        <v>8</v>
      </c>
      <c r="I148" s="15" t="s">
        <v>7</v>
      </c>
      <c r="J148" s="34"/>
    </row>
    <row r="149" spans="1:10" x14ac:dyDescent="0.4">
      <c r="A149" s="22" t="s">
        <v>3</v>
      </c>
      <c r="B149" s="26">
        <v>3.14</v>
      </c>
      <c r="C149" s="20">
        <v>1515.9</v>
      </c>
      <c r="D149" s="28">
        <f>C149/C151</f>
        <v>49.701639344262297</v>
      </c>
      <c r="E149" s="29">
        <f>(D150+0.0045)/0.0056</f>
        <v>108.53190866510536</v>
      </c>
      <c r="F149" s="42">
        <f>(E149*120.15)/1000</f>
        <v>13.040108826112409</v>
      </c>
      <c r="G149" s="35">
        <f>(C150/(C149+C150))</f>
        <v>1.1992439548979989E-2</v>
      </c>
      <c r="H149" s="19">
        <f>((G149*1000)/1.1)</f>
        <v>10.90221777179999</v>
      </c>
      <c r="I149" s="19">
        <f>(H149/120.15)*1000</f>
        <v>90.738391775280817</v>
      </c>
      <c r="J149" s="34"/>
    </row>
    <row r="150" spans="1:10" x14ac:dyDescent="0.4">
      <c r="A150" s="22" t="s">
        <v>5</v>
      </c>
      <c r="B150" s="26">
        <v>4.83</v>
      </c>
      <c r="C150" s="20">
        <v>18.399999999999999</v>
      </c>
      <c r="D150" s="18">
        <f>C150/C151</f>
        <v>0.6032786885245901</v>
      </c>
      <c r="E150" s="29"/>
      <c r="F150" s="42"/>
      <c r="G150" s="28"/>
      <c r="H150" s="20"/>
      <c r="I150" s="20"/>
      <c r="J150" s="34"/>
    </row>
    <row r="151" spans="1:10" ht="15" thickBot="1" x14ac:dyDescent="0.45">
      <c r="A151" s="22" t="s">
        <v>4</v>
      </c>
      <c r="B151" s="30">
        <v>6.2119999999999997</v>
      </c>
      <c r="C151" s="11">
        <v>30.5</v>
      </c>
      <c r="D151" s="31"/>
      <c r="E151" s="32"/>
      <c r="F151" s="43"/>
      <c r="G151" s="36">
        <f>C151/(C149+C150+C151)</f>
        <v>1.9491308793456029E-2</v>
      </c>
      <c r="H151" s="20"/>
      <c r="I151" s="20"/>
      <c r="J151" s="34"/>
    </row>
    <row r="152" spans="1:10" x14ac:dyDescent="0.4">
      <c r="A152" s="3" t="s">
        <v>37</v>
      </c>
      <c r="B152" s="3"/>
      <c r="C152" s="3"/>
      <c r="D152" s="3"/>
      <c r="E152" s="3"/>
      <c r="F152" s="3"/>
      <c r="G152" s="3"/>
      <c r="H152" s="3"/>
      <c r="I152" s="3"/>
      <c r="J152" s="3"/>
    </row>
    <row r="153" spans="1:10" ht="15" thickBot="1" x14ac:dyDescent="0.45">
      <c r="A153" s="1" t="s">
        <v>51</v>
      </c>
      <c r="B153" s="1"/>
      <c r="C153" s="1"/>
      <c r="D153" s="1"/>
      <c r="E153" s="1"/>
      <c r="F153" s="1"/>
      <c r="G153" s="1"/>
      <c r="H153" s="1"/>
      <c r="I153" s="1"/>
      <c r="J153" s="21"/>
    </row>
    <row r="154" spans="1:10" x14ac:dyDescent="0.4">
      <c r="A154" s="22" t="s">
        <v>0</v>
      </c>
      <c r="B154" s="23" t="s">
        <v>2</v>
      </c>
      <c r="C154" s="24" t="s">
        <v>1</v>
      </c>
      <c r="D154" s="24" t="s">
        <v>11</v>
      </c>
      <c r="E154" s="8" t="s">
        <v>7</v>
      </c>
      <c r="F154" s="25" t="s">
        <v>47</v>
      </c>
      <c r="G154" s="22" t="s">
        <v>12</v>
      </c>
      <c r="H154" s="15" t="s">
        <v>8</v>
      </c>
      <c r="I154" s="15" t="s">
        <v>7</v>
      </c>
      <c r="J154" s="20"/>
    </row>
    <row r="155" spans="1:10" x14ac:dyDescent="0.4">
      <c r="A155" s="22" t="s">
        <v>3</v>
      </c>
      <c r="B155" s="26">
        <v>3.1</v>
      </c>
      <c r="C155" s="20">
        <v>1060.5</v>
      </c>
      <c r="D155" s="28">
        <f>C155/C157</f>
        <v>39.570895522388057</v>
      </c>
      <c r="E155" s="29">
        <f>(D156+0.0045)/0.0056</f>
        <v>124.0711620469083</v>
      </c>
      <c r="F155" s="29">
        <f>(E155*120.15)/1000</f>
        <v>14.907150119936034</v>
      </c>
      <c r="G155" s="35">
        <f>(C156/(C155+C156))</f>
        <v>1.7145505097312327E-2</v>
      </c>
      <c r="H155" s="19">
        <f>((G155*1000)/1.1)</f>
        <v>15.586822815738477</v>
      </c>
      <c r="I155" s="19">
        <f>(H155/120.15)*1000</f>
        <v>129.72803009353706</v>
      </c>
      <c r="J155" s="20"/>
    </row>
    <row r="156" spans="1:10" x14ac:dyDescent="0.4">
      <c r="A156" s="22" t="s">
        <v>5</v>
      </c>
      <c r="B156" s="26">
        <v>4.83</v>
      </c>
      <c r="C156" s="20">
        <v>18.5</v>
      </c>
      <c r="D156" s="18">
        <f>C156/C157</f>
        <v>0.69029850746268651</v>
      </c>
      <c r="E156" s="29"/>
      <c r="F156" s="29"/>
      <c r="G156" s="28"/>
      <c r="H156" s="20"/>
      <c r="I156" s="20"/>
      <c r="J156" s="20"/>
    </row>
    <row r="157" spans="1:10" ht="15" thickBot="1" x14ac:dyDescent="0.45">
      <c r="A157" s="22" t="s">
        <v>4</v>
      </c>
      <c r="B157" s="30">
        <v>6.2119999999999997</v>
      </c>
      <c r="C157" s="31">
        <v>26.8</v>
      </c>
      <c r="D157" s="31"/>
      <c r="E157" s="32"/>
      <c r="F157" s="32"/>
      <c r="G157" s="36">
        <f>C157/(C155+C156+C157)</f>
        <v>2.4235847350334599E-2</v>
      </c>
      <c r="H157" s="20"/>
      <c r="I157" s="20"/>
      <c r="J157" s="20"/>
    </row>
    <row r="158" spans="1:10" ht="15" thickBot="1" x14ac:dyDescent="0.45">
      <c r="A158" s="1" t="s">
        <v>52</v>
      </c>
      <c r="B158" s="33"/>
      <c r="C158" s="33"/>
      <c r="D158" s="33"/>
      <c r="E158" s="33"/>
      <c r="F158" s="33"/>
      <c r="G158" s="1"/>
      <c r="H158" s="1"/>
      <c r="I158" s="1"/>
      <c r="J158" s="34"/>
    </row>
    <row r="159" spans="1:10" x14ac:dyDescent="0.4">
      <c r="A159" s="22" t="s">
        <v>0</v>
      </c>
      <c r="B159" s="23" t="s">
        <v>2</v>
      </c>
      <c r="C159" s="24" t="s">
        <v>1</v>
      </c>
      <c r="D159" s="24" t="s">
        <v>11</v>
      </c>
      <c r="E159" s="8" t="s">
        <v>7</v>
      </c>
      <c r="F159" s="41" t="s">
        <v>47</v>
      </c>
      <c r="G159" s="22" t="s">
        <v>12</v>
      </c>
      <c r="H159" s="15" t="s">
        <v>8</v>
      </c>
      <c r="I159" s="15" t="s">
        <v>7</v>
      </c>
      <c r="J159" s="34"/>
    </row>
    <row r="160" spans="1:10" x14ac:dyDescent="0.4">
      <c r="A160" s="22" t="s">
        <v>3</v>
      </c>
      <c r="B160" s="26">
        <v>3.14</v>
      </c>
      <c r="C160" s="20">
        <v>1395.4</v>
      </c>
      <c r="D160" s="28">
        <f>C160/C162</f>
        <v>48.620209059233453</v>
      </c>
      <c r="E160" s="29">
        <f>(D161+0.0045)/0.0056</f>
        <v>115.28838974614234</v>
      </c>
      <c r="F160" s="42">
        <f>(E160*120.15)/1000</f>
        <v>13.851900027999003</v>
      </c>
      <c r="G160" s="35">
        <f>(C161/(C160+C161))</f>
        <v>1.3014570660630921E-2</v>
      </c>
      <c r="H160" s="19">
        <f>((G160*1000)/1.1)</f>
        <v>11.831427873300838</v>
      </c>
      <c r="I160" s="19">
        <f>(H160/120.15)*1000</f>
        <v>98.472142099882134</v>
      </c>
      <c r="J160" s="34"/>
    </row>
    <row r="161" spans="1:10" x14ac:dyDescent="0.4">
      <c r="A161" s="22" t="s">
        <v>5</v>
      </c>
      <c r="B161" s="26">
        <v>4.83</v>
      </c>
      <c r="C161" s="20">
        <v>18.399999999999999</v>
      </c>
      <c r="D161" s="18">
        <f>C161/C162</f>
        <v>0.64111498257839716</v>
      </c>
      <c r="E161" s="29"/>
      <c r="F161" s="42"/>
      <c r="G161" s="28"/>
      <c r="H161" s="20"/>
      <c r="I161" s="20"/>
      <c r="J161" s="34"/>
    </row>
    <row r="162" spans="1:10" ht="15" thickBot="1" x14ac:dyDescent="0.45">
      <c r="A162" s="22" t="s">
        <v>4</v>
      </c>
      <c r="B162" s="30">
        <v>6.2119999999999997</v>
      </c>
      <c r="C162" s="11">
        <v>28.7</v>
      </c>
      <c r="D162" s="31"/>
      <c r="E162" s="32"/>
      <c r="F162" s="43"/>
      <c r="G162" s="36">
        <f>C162/(C160+C161+C162)</f>
        <v>1.989601386481802E-2</v>
      </c>
      <c r="H162" s="20"/>
      <c r="I162" s="20"/>
      <c r="J162" s="34"/>
    </row>
    <row r="163" spans="1:10" x14ac:dyDescent="0.4">
      <c r="A163" s="3" t="s">
        <v>37</v>
      </c>
      <c r="B163" s="3"/>
      <c r="C163" s="3"/>
      <c r="D163" s="3"/>
      <c r="E163" s="3"/>
      <c r="F163" s="3"/>
      <c r="G163" s="3"/>
      <c r="H163" s="3"/>
      <c r="I163" s="3"/>
      <c r="J163" s="3"/>
    </row>
    <row r="164" spans="1:10" ht="15" thickBot="1" x14ac:dyDescent="0.45">
      <c r="A164" s="1" t="s">
        <v>60</v>
      </c>
      <c r="B164" s="1"/>
      <c r="C164" s="1"/>
      <c r="D164" s="1"/>
      <c r="E164" s="1"/>
      <c r="F164" s="1"/>
      <c r="G164" s="1"/>
      <c r="H164" s="1"/>
      <c r="I164" s="1"/>
      <c r="J164" s="21"/>
    </row>
    <row r="165" spans="1:10" x14ac:dyDescent="0.4">
      <c r="A165" s="22" t="s">
        <v>0</v>
      </c>
      <c r="B165" s="23" t="s">
        <v>2</v>
      </c>
      <c r="C165" s="24" t="s">
        <v>1</v>
      </c>
      <c r="D165" s="24" t="s">
        <v>11</v>
      </c>
      <c r="E165" s="8" t="s">
        <v>7</v>
      </c>
      <c r="F165" s="25" t="s">
        <v>47</v>
      </c>
      <c r="G165" s="22" t="s">
        <v>12</v>
      </c>
      <c r="H165" s="15" t="s">
        <v>8</v>
      </c>
      <c r="I165" s="15" t="s">
        <v>7</v>
      </c>
      <c r="J165" s="20"/>
    </row>
    <row r="166" spans="1:10" x14ac:dyDescent="0.4">
      <c r="A166" s="22" t="s">
        <v>3</v>
      </c>
      <c r="B166" s="26">
        <v>3.1</v>
      </c>
      <c r="C166" s="20">
        <v>1116.3</v>
      </c>
      <c r="D166" s="28">
        <f>C166/C168</f>
        <v>38.360824742268036</v>
      </c>
      <c r="E166" s="29">
        <f>(D167+0.0045)/0.0056</f>
        <v>121.07848551791851</v>
      </c>
      <c r="F166" s="29">
        <f>(E166*120.15)/1000</f>
        <v>14.547580034977909</v>
      </c>
      <c r="G166" s="35">
        <f>(C167/(C166+C167))</f>
        <v>1.7255040056342992E-2</v>
      </c>
      <c r="H166" s="19">
        <f>((G166*1000)/1.1)</f>
        <v>15.6864000512209</v>
      </c>
      <c r="I166" s="19">
        <f>(H166/120.15)*1000</f>
        <v>130.55680442131418</v>
      </c>
      <c r="J166" s="20"/>
    </row>
    <row r="167" spans="1:10" x14ac:dyDescent="0.4">
      <c r="A167" s="22" t="s">
        <v>5</v>
      </c>
      <c r="B167" s="26">
        <v>4.83</v>
      </c>
      <c r="C167" s="20">
        <v>19.600000000000001</v>
      </c>
      <c r="D167" s="18">
        <f>C167/C168</f>
        <v>0.67353951890034369</v>
      </c>
      <c r="E167" s="29"/>
      <c r="F167" s="29"/>
      <c r="G167" s="28"/>
      <c r="H167" s="20"/>
      <c r="I167" s="20"/>
      <c r="J167" s="20"/>
    </row>
    <row r="168" spans="1:10" ht="15" thickBot="1" x14ac:dyDescent="0.45">
      <c r="A168" s="22" t="s">
        <v>4</v>
      </c>
      <c r="B168" s="30">
        <v>6.2119999999999997</v>
      </c>
      <c r="C168" s="31">
        <v>29.1</v>
      </c>
      <c r="D168" s="31"/>
      <c r="E168" s="32"/>
      <c r="F168" s="32"/>
      <c r="G168" s="36">
        <f>C168/(C166+C167+C168)</f>
        <v>2.4978540772532195E-2</v>
      </c>
      <c r="H168" s="20"/>
      <c r="I168" s="20"/>
      <c r="J168" s="20"/>
    </row>
    <row r="169" spans="1:10" ht="15" thickBot="1" x14ac:dyDescent="0.45">
      <c r="A169" s="1" t="s">
        <v>61</v>
      </c>
      <c r="B169" s="33"/>
      <c r="C169" s="33"/>
      <c r="D169" s="33"/>
      <c r="E169" s="33"/>
      <c r="F169" s="33"/>
      <c r="G169" s="1"/>
      <c r="H169" s="1"/>
      <c r="I169" s="1"/>
      <c r="J169" s="34"/>
    </row>
    <row r="170" spans="1:10" x14ac:dyDescent="0.4">
      <c r="A170" s="22" t="s">
        <v>0</v>
      </c>
      <c r="B170" s="23" t="s">
        <v>2</v>
      </c>
      <c r="C170" s="24" t="s">
        <v>1</v>
      </c>
      <c r="D170" s="24" t="s">
        <v>11</v>
      </c>
      <c r="E170" s="8" t="s">
        <v>7</v>
      </c>
      <c r="F170" s="41" t="s">
        <v>47</v>
      </c>
      <c r="G170" s="22" t="s">
        <v>12</v>
      </c>
      <c r="H170" s="15" t="s">
        <v>8</v>
      </c>
      <c r="I170" s="15" t="s">
        <v>7</v>
      </c>
      <c r="J170" s="34"/>
    </row>
    <row r="171" spans="1:10" x14ac:dyDescent="0.4">
      <c r="A171" s="22" t="s">
        <v>3</v>
      </c>
      <c r="B171" s="26">
        <v>3.14</v>
      </c>
      <c r="C171" s="20">
        <v>1432.1</v>
      </c>
      <c r="D171" s="28">
        <f>C171/C173</f>
        <v>48.877133105802045</v>
      </c>
      <c r="E171" s="29">
        <f>(D172+0.0045)/0.0056</f>
        <v>115.99128473915161</v>
      </c>
      <c r="F171" s="42">
        <f>(E171*120.15)/1000</f>
        <v>13.936352861409066</v>
      </c>
      <c r="G171" s="35">
        <f>(C172/(C171+C172))</f>
        <v>1.3025499655410061E-2</v>
      </c>
      <c r="H171" s="19">
        <f>((G171*1000)/1.1)</f>
        <v>11.841363323100055</v>
      </c>
      <c r="I171" s="19">
        <f>(H171/120.15)*1000</f>
        <v>98.554834149813189</v>
      </c>
      <c r="J171" s="34"/>
    </row>
    <row r="172" spans="1:10" x14ac:dyDescent="0.4">
      <c r="A172" s="22" t="s">
        <v>5</v>
      </c>
      <c r="B172" s="26">
        <v>4.83</v>
      </c>
      <c r="C172" s="20">
        <v>18.899999999999999</v>
      </c>
      <c r="D172" s="18">
        <f>C172/C173</f>
        <v>0.64505119453924908</v>
      </c>
      <c r="E172" s="29"/>
      <c r="F172" s="42"/>
      <c r="G172" s="28"/>
      <c r="H172" s="20"/>
      <c r="I172" s="20"/>
      <c r="J172" s="34"/>
    </row>
    <row r="173" spans="1:10" ht="15" thickBot="1" x14ac:dyDescent="0.45">
      <c r="A173" s="22" t="s">
        <v>4</v>
      </c>
      <c r="B173" s="30">
        <v>6.2119999999999997</v>
      </c>
      <c r="C173" s="11">
        <v>29.3</v>
      </c>
      <c r="D173" s="31"/>
      <c r="E173" s="32"/>
      <c r="F173" s="43"/>
      <c r="G173" s="36">
        <f>C173/(C171+C172+C173)</f>
        <v>1.9793285144903063E-2</v>
      </c>
      <c r="H173" s="20"/>
      <c r="I173" s="20"/>
      <c r="J173" s="34"/>
    </row>
    <row r="174" spans="1:10" x14ac:dyDescent="0.4">
      <c r="A174" s="3" t="s">
        <v>37</v>
      </c>
      <c r="B174" s="3"/>
      <c r="C174" s="3"/>
      <c r="D174" s="3"/>
      <c r="E174" s="3"/>
      <c r="F174" s="3"/>
      <c r="G174" s="3"/>
      <c r="H174" s="3"/>
      <c r="I174" s="3"/>
      <c r="J174" s="3"/>
    </row>
    <row r="175" spans="1:10" ht="15" thickBot="1" x14ac:dyDescent="0.45">
      <c r="A175" s="1" t="s">
        <v>62</v>
      </c>
      <c r="B175" s="1"/>
      <c r="C175" s="1"/>
      <c r="D175" s="1"/>
      <c r="E175" s="1"/>
      <c r="F175" s="1"/>
      <c r="G175" s="1"/>
      <c r="H175" s="1"/>
      <c r="I175" s="1"/>
      <c r="J175" s="21"/>
    </row>
    <row r="176" spans="1:10" x14ac:dyDescent="0.4">
      <c r="A176" s="22" t="s">
        <v>0</v>
      </c>
      <c r="B176" s="23" t="s">
        <v>2</v>
      </c>
      <c r="C176" s="24" t="s">
        <v>1</v>
      </c>
      <c r="D176" s="24" t="s">
        <v>11</v>
      </c>
      <c r="E176" s="8" t="s">
        <v>7</v>
      </c>
      <c r="F176" s="25" t="s">
        <v>47</v>
      </c>
      <c r="G176" s="22" t="s">
        <v>12</v>
      </c>
      <c r="H176" s="15" t="s">
        <v>8</v>
      </c>
      <c r="I176" s="15" t="s">
        <v>7</v>
      </c>
      <c r="J176" s="20"/>
    </row>
    <row r="177" spans="1:10" x14ac:dyDescent="0.4">
      <c r="A177" s="22" t="s">
        <v>3</v>
      </c>
      <c r="B177" s="26">
        <v>3.1</v>
      </c>
      <c r="C177" s="20">
        <v>1319.7</v>
      </c>
      <c r="D177" s="28">
        <f>C177/C179</f>
        <v>38.475218658892132</v>
      </c>
      <c r="E177" s="29">
        <f>(D178+0.0045)/0.0056</f>
        <v>119.50411286963767</v>
      </c>
      <c r="F177" s="29">
        <f>(E177*120.15)/1000</f>
        <v>14.358419161286966</v>
      </c>
      <c r="G177" s="35">
        <f>(C178/(C177+C178))</f>
        <v>1.6983240223463689E-2</v>
      </c>
      <c r="H177" s="19">
        <f>((G177*1000)/1.1)</f>
        <v>15.439309294057898</v>
      </c>
      <c r="I177" s="19">
        <f>(H177/120.15)*1000</f>
        <v>128.50028542703203</v>
      </c>
      <c r="J177" s="20"/>
    </row>
    <row r="178" spans="1:10" x14ac:dyDescent="0.4">
      <c r="A178" s="22" t="s">
        <v>5</v>
      </c>
      <c r="B178" s="26">
        <v>4.83</v>
      </c>
      <c r="C178" s="20">
        <v>22.8</v>
      </c>
      <c r="D178" s="18">
        <f>C178/C179</f>
        <v>0.66472303206997096</v>
      </c>
      <c r="E178" s="29"/>
      <c r="F178" s="29"/>
      <c r="G178" s="28"/>
      <c r="H178" s="20"/>
      <c r="I178" s="20"/>
      <c r="J178" s="20"/>
    </row>
    <row r="179" spans="1:10" ht="15" thickBot="1" x14ac:dyDescent="0.45">
      <c r="A179" s="22" t="s">
        <v>4</v>
      </c>
      <c r="B179" s="30">
        <v>6.2119999999999997</v>
      </c>
      <c r="C179" s="31">
        <v>34.299999999999997</v>
      </c>
      <c r="D179" s="31"/>
      <c r="E179" s="32"/>
      <c r="F179" s="32"/>
      <c r="G179" s="36">
        <f>C179/(C177+C178+C179)</f>
        <v>2.4912841371295756E-2</v>
      </c>
      <c r="H179" s="20"/>
      <c r="I179" s="20"/>
      <c r="J179" s="20"/>
    </row>
    <row r="180" spans="1:10" ht="15" thickBot="1" x14ac:dyDescent="0.45">
      <c r="A180" s="1" t="s">
        <v>63</v>
      </c>
      <c r="B180" s="33"/>
      <c r="C180" s="33"/>
      <c r="D180" s="33"/>
      <c r="E180" s="33"/>
      <c r="F180" s="33"/>
      <c r="G180" s="1"/>
      <c r="H180" s="1"/>
      <c r="I180" s="1"/>
      <c r="J180" s="34"/>
    </row>
    <row r="181" spans="1:10" x14ac:dyDescent="0.4">
      <c r="A181" s="22" t="s">
        <v>0</v>
      </c>
      <c r="B181" s="23" t="s">
        <v>2</v>
      </c>
      <c r="C181" s="24" t="s">
        <v>1</v>
      </c>
      <c r="D181" s="24" t="s">
        <v>11</v>
      </c>
      <c r="E181" s="8" t="s">
        <v>7</v>
      </c>
      <c r="F181" s="41" t="s">
        <v>47</v>
      </c>
      <c r="G181" s="22" t="s">
        <v>12</v>
      </c>
      <c r="H181" s="15" t="s">
        <v>8</v>
      </c>
      <c r="I181" s="15" t="s">
        <v>7</v>
      </c>
      <c r="J181" s="34"/>
    </row>
    <row r="182" spans="1:10" x14ac:dyDescent="0.4">
      <c r="A182" s="22" t="s">
        <v>3</v>
      </c>
      <c r="B182" s="26">
        <v>3.14</v>
      </c>
      <c r="C182" s="20">
        <v>1521.7</v>
      </c>
      <c r="D182" s="28">
        <f>C182/C184</f>
        <v>48.616613418530349</v>
      </c>
      <c r="E182" s="29">
        <f>(D183+0.0045)/0.0056</f>
        <v>115.47723642172524</v>
      </c>
      <c r="F182" s="42">
        <f>(E182*120.15)/1000</f>
        <v>13.874589956070288</v>
      </c>
      <c r="G182" s="35">
        <f>(C183/(C182+C183))</f>
        <v>1.3036710338565315E-2</v>
      </c>
      <c r="H182" s="19">
        <f>((G182*1000)/1.1)</f>
        <v>11.851554853241193</v>
      </c>
      <c r="I182" s="19">
        <f>(H182/120.15)*1000</f>
        <v>98.639657538420238</v>
      </c>
      <c r="J182" s="34"/>
    </row>
    <row r="183" spans="1:10" x14ac:dyDescent="0.4">
      <c r="A183" s="22" t="s">
        <v>5</v>
      </c>
      <c r="B183" s="26">
        <v>4.83</v>
      </c>
      <c r="C183" s="20">
        <v>20.100000000000001</v>
      </c>
      <c r="D183" s="18">
        <f>C183/C184</f>
        <v>0.64217252396166136</v>
      </c>
      <c r="E183" s="29"/>
      <c r="F183" s="42"/>
      <c r="G183" s="28"/>
      <c r="H183" s="20"/>
      <c r="I183" s="20"/>
      <c r="J183" s="34"/>
    </row>
    <row r="184" spans="1:10" ht="15" thickBot="1" x14ac:dyDescent="0.45">
      <c r="A184" s="22" t="s">
        <v>4</v>
      </c>
      <c r="B184" s="30">
        <v>6.2119999999999997</v>
      </c>
      <c r="C184" s="11">
        <v>31.3</v>
      </c>
      <c r="D184" s="31"/>
      <c r="E184" s="32"/>
      <c r="F184" s="43"/>
      <c r="G184" s="36">
        <f>C184/(C182+C183+C184)</f>
        <v>1.9897018625643637E-2</v>
      </c>
      <c r="H184" s="20"/>
      <c r="I184" s="20"/>
      <c r="J184" s="34"/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697E14-D3EB-421D-934B-452F3F89EFC5}">
  <dimension ref="A1:T372"/>
  <sheetViews>
    <sheetView topLeftCell="D63" zoomScale="67" workbookViewId="0">
      <selection activeCell="K83" sqref="K83"/>
    </sheetView>
  </sheetViews>
  <sheetFormatPr defaultRowHeight="14.6" x14ac:dyDescent="0.4"/>
  <cols>
    <col min="16" max="16" width="12.69140625" customWidth="1"/>
  </cols>
  <sheetData>
    <row r="1" spans="1:20" x14ac:dyDescent="0.4">
      <c r="A1" s="3" t="s">
        <v>13</v>
      </c>
      <c r="B1" s="3"/>
      <c r="C1" s="3"/>
      <c r="D1" s="3"/>
      <c r="E1" s="3"/>
      <c r="F1" s="3"/>
      <c r="G1" s="3"/>
      <c r="H1" s="3"/>
      <c r="I1" s="3"/>
      <c r="J1" s="3"/>
    </row>
    <row r="2" spans="1:20" ht="15" thickBot="1" x14ac:dyDescent="0.45">
      <c r="A2" s="1" t="s">
        <v>54</v>
      </c>
      <c r="B2" s="1"/>
      <c r="C2" s="1"/>
      <c r="D2" s="1"/>
      <c r="E2" s="1"/>
      <c r="F2" s="1"/>
      <c r="G2" s="1"/>
      <c r="H2" s="1"/>
      <c r="I2" s="1"/>
      <c r="J2" s="21"/>
    </row>
    <row r="3" spans="1:20" x14ac:dyDescent="0.4">
      <c r="A3" s="22" t="s">
        <v>0</v>
      </c>
      <c r="B3" s="23" t="s">
        <v>2</v>
      </c>
      <c r="C3" s="24" t="s">
        <v>1</v>
      </c>
      <c r="D3" s="24" t="s">
        <v>11</v>
      </c>
      <c r="E3" s="7" t="s">
        <v>7</v>
      </c>
      <c r="F3" s="41" t="s">
        <v>47</v>
      </c>
      <c r="G3" s="22" t="s">
        <v>12</v>
      </c>
      <c r="H3" s="15" t="s">
        <v>8</v>
      </c>
      <c r="I3" s="15" t="s">
        <v>7</v>
      </c>
      <c r="J3" s="20"/>
      <c r="K3">
        <f>37.95</f>
        <v>37.950000000000003</v>
      </c>
      <c r="L3" t="s">
        <v>164</v>
      </c>
      <c r="M3" s="37" t="s">
        <v>46</v>
      </c>
      <c r="N3" s="37"/>
      <c r="O3" s="37"/>
      <c r="P3" s="37"/>
      <c r="Q3" s="37"/>
      <c r="R3" s="37"/>
      <c r="S3" s="39"/>
      <c r="T3" s="37" t="s">
        <v>149</v>
      </c>
    </row>
    <row r="4" spans="1:20" x14ac:dyDescent="0.4">
      <c r="A4" s="22" t="s">
        <v>3</v>
      </c>
      <c r="B4" s="26">
        <v>3.1</v>
      </c>
      <c r="C4" s="27">
        <v>6556</v>
      </c>
      <c r="D4" s="28">
        <f>C4/C6</f>
        <v>52.155926809864759</v>
      </c>
      <c r="E4" s="27">
        <v>0</v>
      </c>
      <c r="F4" s="42">
        <f>(E4*120.15)/1000</f>
        <v>0</v>
      </c>
      <c r="G4" s="35">
        <f>(C5/(C4+C5))</f>
        <v>0</v>
      </c>
      <c r="H4" s="19">
        <f>((G4*1000)/1.1)</f>
        <v>0</v>
      </c>
      <c r="I4" s="19">
        <f>(H4/120.15)*1000</f>
        <v>0</v>
      </c>
      <c r="J4" s="20"/>
      <c r="K4">
        <f>37.95/1000*2.86/1/44400*1000*1000</f>
        <v>2.4445270270270272</v>
      </c>
      <c r="L4" t="s">
        <v>159</v>
      </c>
      <c r="M4" s="37" t="s">
        <v>14</v>
      </c>
      <c r="N4" s="37" t="s">
        <v>16</v>
      </c>
      <c r="O4" s="37" t="s">
        <v>49</v>
      </c>
      <c r="P4" s="38" t="s">
        <v>9</v>
      </c>
      <c r="Q4" s="38" t="s">
        <v>15</v>
      </c>
      <c r="R4" s="37" t="s">
        <v>53</v>
      </c>
      <c r="T4" s="37" t="s">
        <v>16</v>
      </c>
    </row>
    <row r="5" spans="1:20" x14ac:dyDescent="0.4">
      <c r="A5" s="22" t="s">
        <v>5</v>
      </c>
      <c r="B5" s="26">
        <v>4.83</v>
      </c>
      <c r="C5" s="27">
        <v>0</v>
      </c>
      <c r="D5" s="18">
        <f>C5/C6</f>
        <v>0</v>
      </c>
      <c r="E5" s="27"/>
      <c r="F5" s="42"/>
      <c r="G5" s="28"/>
      <c r="H5" s="20"/>
      <c r="I5" s="20"/>
      <c r="J5" s="20"/>
      <c r="M5">
        <v>0</v>
      </c>
      <c r="N5">
        <v>30</v>
      </c>
      <c r="O5">
        <f>E4</f>
        <v>0</v>
      </c>
      <c r="P5" s="2">
        <v>0</v>
      </c>
      <c r="Q5">
        <f>0</f>
        <v>0</v>
      </c>
      <c r="R5">
        <v>0</v>
      </c>
      <c r="T5">
        <f>N5-O5</f>
        <v>30</v>
      </c>
    </row>
    <row r="6" spans="1:20" ht="15" thickBot="1" x14ac:dyDescent="0.45">
      <c r="A6" s="22" t="s">
        <v>4</v>
      </c>
      <c r="B6" s="30">
        <v>6.2119999999999997</v>
      </c>
      <c r="C6" s="31">
        <v>125.7</v>
      </c>
      <c r="D6" s="31"/>
      <c r="E6" s="40"/>
      <c r="F6" s="43"/>
      <c r="G6" s="36">
        <f>C6/(C4+C5+C6)</f>
        <v>1.8812577637427601E-2</v>
      </c>
      <c r="H6" s="20"/>
      <c r="I6" s="20"/>
      <c r="J6" s="20"/>
      <c r="M6">
        <v>1</v>
      </c>
      <c r="N6">
        <f>M6*8.56+1</f>
        <v>9.56</v>
      </c>
      <c r="O6" s="2">
        <f>E35</f>
        <v>30.869885916601103</v>
      </c>
      <c r="P6" s="2">
        <f>O6/(2.44/1000)</f>
        <v>12651.592588770944</v>
      </c>
      <c r="Q6">
        <f t="shared" ref="Q6:Q15" si="0">((O6-O5)/(2.44/1000))/(M6-M5)</f>
        <v>12651.592588770944</v>
      </c>
      <c r="R6">
        <f>(O6-O5)/1</f>
        <v>30.869885916601103</v>
      </c>
      <c r="S6" t="s">
        <v>50</v>
      </c>
      <c r="T6" s="2">
        <f>T5+N6-O6</f>
        <v>8.6901140833988997</v>
      </c>
    </row>
    <row r="7" spans="1:20" ht="15" thickBot="1" x14ac:dyDescent="0.45">
      <c r="A7" s="1" t="s">
        <v>55</v>
      </c>
      <c r="B7" s="33"/>
      <c r="C7" s="33"/>
      <c r="D7" s="33"/>
      <c r="E7" s="33"/>
      <c r="F7" s="33"/>
      <c r="G7" s="1"/>
      <c r="H7" s="1"/>
      <c r="I7" s="1"/>
      <c r="J7" s="34"/>
      <c r="M7">
        <v>2</v>
      </c>
      <c r="N7">
        <f t="shared" ref="N7:N15" si="1">M7*8.56+1</f>
        <v>18.12</v>
      </c>
      <c r="O7" s="2">
        <f>E66</f>
        <v>42.201538419499407</v>
      </c>
      <c r="P7" s="2">
        <f t="shared" ref="P7:P15" si="2">O7/(2.44/1000)</f>
        <v>17295.712467007954</v>
      </c>
      <c r="Q7">
        <f t="shared" si="0"/>
        <v>4644.1198782370102</v>
      </c>
      <c r="R7">
        <f>(O7-O6)/1</f>
        <v>11.331652502898304</v>
      </c>
      <c r="S7" t="s">
        <v>50</v>
      </c>
      <c r="T7" s="2">
        <f t="shared" ref="T7:T15" si="3">T6+N7-O7</f>
        <v>-15.391424336100506</v>
      </c>
    </row>
    <row r="8" spans="1:20" x14ac:dyDescent="0.4">
      <c r="A8" s="22" t="s">
        <v>0</v>
      </c>
      <c r="B8" s="23" t="s">
        <v>2</v>
      </c>
      <c r="C8" s="24" t="s">
        <v>1</v>
      </c>
      <c r="D8" s="24" t="s">
        <v>11</v>
      </c>
      <c r="E8" s="8" t="s">
        <v>7</v>
      </c>
      <c r="F8" s="25" t="s">
        <v>47</v>
      </c>
      <c r="G8" s="22" t="s">
        <v>12</v>
      </c>
      <c r="H8" s="15" t="s">
        <v>8</v>
      </c>
      <c r="I8" s="15" t="s">
        <v>7</v>
      </c>
      <c r="J8" s="34"/>
      <c r="M8">
        <v>3</v>
      </c>
      <c r="N8">
        <f t="shared" si="1"/>
        <v>26.68</v>
      </c>
      <c r="O8" s="2">
        <f>E97</f>
        <v>51.105382293762581</v>
      </c>
      <c r="P8" s="2">
        <f>O8/(2.44/1000)</f>
        <v>20944.82880891909</v>
      </c>
      <c r="Q8">
        <f t="shared" si="0"/>
        <v>3649.1163419111372</v>
      </c>
      <c r="R8">
        <f>(O8-O7)/1</f>
        <v>8.903843874263174</v>
      </c>
      <c r="T8" s="2">
        <f t="shared" si="3"/>
        <v>-39.816806629863088</v>
      </c>
    </row>
    <row r="9" spans="1:20" x14ac:dyDescent="0.4">
      <c r="A9" s="22" t="s">
        <v>3</v>
      </c>
      <c r="B9" s="26">
        <v>3.14</v>
      </c>
      <c r="C9" s="20">
        <v>4783.6000000000004</v>
      </c>
      <c r="D9" s="28">
        <f>C9/C11</f>
        <v>51.491926803013996</v>
      </c>
      <c r="E9" s="29">
        <v>0</v>
      </c>
      <c r="F9" s="29">
        <f>(E9*120.15)/1000</f>
        <v>0</v>
      </c>
      <c r="G9" s="35">
        <f>(C10/(C9+C10))</f>
        <v>0</v>
      </c>
      <c r="H9" s="19">
        <f>((G9*1000)/1.1)</f>
        <v>0</v>
      </c>
      <c r="I9" s="19">
        <f>(H9/120.15)*1000</f>
        <v>0</v>
      </c>
      <c r="J9" s="34"/>
      <c r="M9">
        <v>4</v>
      </c>
      <c r="N9">
        <f t="shared" si="1"/>
        <v>35.24</v>
      </c>
      <c r="O9" s="2">
        <f>E128</f>
        <v>55.924865229110516</v>
      </c>
      <c r="P9" s="2">
        <f t="shared" si="2"/>
        <v>22920.026733242015</v>
      </c>
      <c r="Q9">
        <f t="shared" si="0"/>
        <v>1975.1979243229243</v>
      </c>
      <c r="R9">
        <f>(O9-O8)/1</f>
        <v>4.8194829353479349</v>
      </c>
      <c r="T9" s="2">
        <f t="shared" si="3"/>
        <v>-60.501671858973602</v>
      </c>
    </row>
    <row r="10" spans="1:20" x14ac:dyDescent="0.4">
      <c r="A10" s="22" t="s">
        <v>5</v>
      </c>
      <c r="B10" s="26">
        <v>4.83</v>
      </c>
      <c r="C10" s="20">
        <v>0</v>
      </c>
      <c r="D10" s="18">
        <f>C10/C11</f>
        <v>0</v>
      </c>
      <c r="E10" s="29"/>
      <c r="F10" s="29"/>
      <c r="G10" s="28"/>
      <c r="H10" s="20"/>
      <c r="I10" s="20"/>
      <c r="J10" s="34"/>
      <c r="M10">
        <v>18</v>
      </c>
      <c r="N10">
        <f t="shared" si="1"/>
        <v>155.08000000000001</v>
      </c>
      <c r="O10" s="2">
        <f>E159</f>
        <v>87.209101382488498</v>
      </c>
      <c r="P10" s="2">
        <f t="shared" si="2"/>
        <v>35741.434992823153</v>
      </c>
      <c r="Q10">
        <f t="shared" si="0"/>
        <v>915.81487568436728</v>
      </c>
      <c r="R10">
        <f>(O10-O9)/14</f>
        <v>2.2345882966698558</v>
      </c>
      <c r="S10" t="s">
        <v>50</v>
      </c>
      <c r="T10" s="2">
        <f t="shared" si="3"/>
        <v>7.3692267585379199</v>
      </c>
    </row>
    <row r="11" spans="1:20" ht="15" thickBot="1" x14ac:dyDescent="0.45">
      <c r="A11" s="22" t="s">
        <v>4</v>
      </c>
      <c r="B11" s="30">
        <v>6.2119999999999997</v>
      </c>
      <c r="C11" s="31">
        <v>92.9</v>
      </c>
      <c r="D11" s="31"/>
      <c r="E11" s="32"/>
      <c r="F11" s="32"/>
      <c r="G11" s="36">
        <f>C11/(C9+C10+C11)</f>
        <v>1.905054854916436E-2</v>
      </c>
      <c r="H11" s="20"/>
      <c r="I11" s="20"/>
      <c r="J11" s="34"/>
      <c r="M11">
        <v>20</v>
      </c>
      <c r="N11">
        <f t="shared" si="1"/>
        <v>172.20000000000002</v>
      </c>
      <c r="O11" s="2">
        <f>AVERAGE(E190,E221)</f>
        <v>84.777890639538498</v>
      </c>
      <c r="P11" s="2">
        <f t="shared" si="2"/>
        <v>34745.037147351846</v>
      </c>
      <c r="Q11">
        <f t="shared" si="0"/>
        <v>-498.1989227356558</v>
      </c>
      <c r="R11">
        <f>(O11-O10)/2</f>
        <v>-1.2156053714750001</v>
      </c>
      <c r="S11" t="s">
        <v>50</v>
      </c>
      <c r="T11" s="2">
        <f t="shared" si="3"/>
        <v>94.791336118999425</v>
      </c>
    </row>
    <row r="12" spans="1:20" ht="15" thickBot="1" x14ac:dyDescent="0.45">
      <c r="A12" s="1" t="s">
        <v>56</v>
      </c>
      <c r="B12" s="33"/>
      <c r="C12" s="33"/>
      <c r="D12" s="33"/>
      <c r="E12" s="33"/>
      <c r="F12" s="33"/>
      <c r="G12" s="1"/>
      <c r="H12" s="1"/>
      <c r="I12" s="1"/>
      <c r="J12" s="34"/>
      <c r="M12">
        <v>22</v>
      </c>
      <c r="N12">
        <f t="shared" si="1"/>
        <v>189.32000000000002</v>
      </c>
      <c r="O12" s="2">
        <f>E252</f>
        <v>86.36904761904762</v>
      </c>
      <c r="P12" s="2">
        <f t="shared" si="2"/>
        <v>35397.150663544111</v>
      </c>
      <c r="Q12">
        <f t="shared" si="0"/>
        <v>326.05675809613166</v>
      </c>
      <c r="R12">
        <f>(O12-O11)/2</f>
        <v>0.79557848975456125</v>
      </c>
      <c r="T12" s="2">
        <f t="shared" si="3"/>
        <v>197.74228849995185</v>
      </c>
    </row>
    <row r="13" spans="1:20" x14ac:dyDescent="0.4">
      <c r="A13" t="s">
        <v>0</v>
      </c>
      <c r="B13" s="23" t="s">
        <v>2</v>
      </c>
      <c r="C13" s="24" t="s">
        <v>1</v>
      </c>
      <c r="D13" s="24" t="s">
        <v>11</v>
      </c>
      <c r="E13" s="8" t="s">
        <v>7</v>
      </c>
      <c r="F13" s="25" t="s">
        <v>47</v>
      </c>
      <c r="G13" s="22" t="s">
        <v>12</v>
      </c>
      <c r="H13" s="15" t="s">
        <v>8</v>
      </c>
      <c r="I13" s="15" t="s">
        <v>7</v>
      </c>
      <c r="J13" s="15"/>
      <c r="M13">
        <v>24</v>
      </c>
      <c r="N13">
        <f t="shared" si="1"/>
        <v>206.44</v>
      </c>
      <c r="O13" s="2">
        <f>E283</f>
        <v>84.172762478485367</v>
      </c>
      <c r="P13" s="2">
        <f t="shared" si="2"/>
        <v>34497.033802657941</v>
      </c>
      <c r="Q13">
        <f t="shared" si="0"/>
        <v>-450.05843044308466</v>
      </c>
      <c r="R13">
        <f>(O13-O12)/2</f>
        <v>-1.0981425702811265</v>
      </c>
      <c r="T13" s="2">
        <f t="shared" si="3"/>
        <v>320.00952602146646</v>
      </c>
    </row>
    <row r="14" spans="1:20" x14ac:dyDescent="0.4">
      <c r="A14" t="s">
        <v>3</v>
      </c>
      <c r="B14" s="13">
        <v>3.1</v>
      </c>
      <c r="C14" s="20">
        <v>6549.6</v>
      </c>
      <c r="D14" s="5">
        <f>C14/C16</f>
        <v>52.522854851643949</v>
      </c>
      <c r="E14" s="29">
        <v>0</v>
      </c>
      <c r="F14" s="29">
        <f>(E14*120.15)/1000</f>
        <v>0</v>
      </c>
      <c r="G14" s="35">
        <f>(C15/(C14+C15))</f>
        <v>0</v>
      </c>
      <c r="H14" s="19">
        <f>((G14*1000)/1.1)</f>
        <v>0</v>
      </c>
      <c r="I14" s="19">
        <f>(H14/120.15)*1000</f>
        <v>0</v>
      </c>
      <c r="J14" s="15"/>
      <c r="M14">
        <v>46</v>
      </c>
      <c r="N14">
        <f t="shared" si="1"/>
        <v>394.76000000000005</v>
      </c>
      <c r="O14" s="2">
        <f>E314</f>
        <v>90.903441163699512</v>
      </c>
      <c r="P14" s="2">
        <f t="shared" si="2"/>
        <v>37255.508673647346</v>
      </c>
      <c r="Q14">
        <f t="shared" si="0"/>
        <v>125.38522140860924</v>
      </c>
      <c r="R14">
        <f>(O14-O13)/22</f>
        <v>0.30593994023700655</v>
      </c>
      <c r="T14" s="2">
        <f t="shared" si="3"/>
        <v>623.86608485776696</v>
      </c>
    </row>
    <row r="15" spans="1:20" x14ac:dyDescent="0.4">
      <c r="A15" t="s">
        <v>5</v>
      </c>
      <c r="B15" s="13">
        <v>4.83</v>
      </c>
      <c r="C15" s="20">
        <v>0</v>
      </c>
      <c r="D15" s="19">
        <f>C15/C16</f>
        <v>0</v>
      </c>
      <c r="E15" s="9"/>
      <c r="F15" s="29"/>
      <c r="G15" s="28"/>
      <c r="H15" s="20"/>
      <c r="I15" s="20"/>
      <c r="J15" s="15"/>
      <c r="M15">
        <v>48</v>
      </c>
      <c r="N15">
        <f t="shared" si="1"/>
        <v>411.88</v>
      </c>
      <c r="O15" s="2">
        <f>E345</f>
        <v>91.16501721170394</v>
      </c>
      <c r="P15" s="2">
        <f t="shared" si="2"/>
        <v>37362.711972009813</v>
      </c>
      <c r="Q15">
        <f t="shared" si="0"/>
        <v>53.601649181235388</v>
      </c>
      <c r="R15">
        <f>(O15-O14)/2</f>
        <v>0.13078802400221434</v>
      </c>
      <c r="T15" s="2">
        <f t="shared" si="3"/>
        <v>944.58106764606316</v>
      </c>
    </row>
    <row r="16" spans="1:20" ht="15" thickBot="1" x14ac:dyDescent="0.45">
      <c r="A16" t="s">
        <v>4</v>
      </c>
      <c r="B16" s="14">
        <v>6.2119999999999997</v>
      </c>
      <c r="C16" s="11">
        <v>124.7</v>
      </c>
      <c r="D16" s="11"/>
      <c r="E16" s="16"/>
      <c r="F16" s="32"/>
      <c r="G16" s="36">
        <f>C16/(C14+C15+C16)</f>
        <v>1.868360726967622E-2</v>
      </c>
      <c r="H16" s="20"/>
      <c r="I16" s="20"/>
      <c r="J16" s="15"/>
      <c r="O16" s="2"/>
      <c r="P16" s="2"/>
    </row>
    <row r="17" spans="1:20" ht="15" thickBot="1" x14ac:dyDescent="0.45">
      <c r="A17" s="1" t="s">
        <v>57</v>
      </c>
      <c r="B17" s="33"/>
      <c r="C17" s="33"/>
      <c r="D17" s="33"/>
      <c r="E17" s="33"/>
      <c r="F17" s="33"/>
      <c r="G17" s="1"/>
      <c r="H17" s="1"/>
      <c r="I17" s="1"/>
      <c r="J17" s="34"/>
    </row>
    <row r="18" spans="1:20" x14ac:dyDescent="0.4">
      <c r="A18" t="s">
        <v>0</v>
      </c>
      <c r="B18" s="23" t="s">
        <v>2</v>
      </c>
      <c r="C18" s="24" t="s">
        <v>1</v>
      </c>
      <c r="D18" s="24" t="s">
        <v>11</v>
      </c>
      <c r="E18" s="8" t="s">
        <v>7</v>
      </c>
      <c r="F18" s="25" t="s">
        <v>47</v>
      </c>
      <c r="G18" s="22" t="s">
        <v>12</v>
      </c>
      <c r="H18" s="15" t="s">
        <v>8</v>
      </c>
      <c r="I18" s="15" t="s">
        <v>7</v>
      </c>
      <c r="J18" s="15"/>
    </row>
    <row r="19" spans="1:20" x14ac:dyDescent="0.4">
      <c r="A19" t="s">
        <v>3</v>
      </c>
      <c r="B19" s="13">
        <v>3.1</v>
      </c>
      <c r="C19" s="20">
        <v>6561.3</v>
      </c>
      <c r="D19" s="5">
        <f>C19/C21</f>
        <v>52.406549520766774</v>
      </c>
      <c r="E19" s="29">
        <v>0</v>
      </c>
      <c r="F19" s="29">
        <f>(E19*120.15)/1000</f>
        <v>0</v>
      </c>
      <c r="G19" s="35">
        <f>(C20/(C19+C20))</f>
        <v>0</v>
      </c>
      <c r="H19" s="19">
        <f>((G19*1000)/1.1)</f>
        <v>0</v>
      </c>
      <c r="I19" s="19">
        <f>(H19/120.15)*1000</f>
        <v>0</v>
      </c>
      <c r="J19" s="15"/>
    </row>
    <row r="20" spans="1:20" x14ac:dyDescent="0.4">
      <c r="A20" t="s">
        <v>5</v>
      </c>
      <c r="B20" s="13">
        <v>4.83</v>
      </c>
      <c r="C20" s="20">
        <v>0</v>
      </c>
      <c r="D20" s="19">
        <f>C20/C21</f>
        <v>0</v>
      </c>
      <c r="E20" s="9"/>
      <c r="F20" s="29"/>
      <c r="G20" s="28"/>
      <c r="H20" s="20"/>
      <c r="I20" s="20"/>
      <c r="J20" s="15"/>
      <c r="K20">
        <v>380</v>
      </c>
      <c r="L20" t="s">
        <v>164</v>
      </c>
      <c r="M20" s="37" t="s">
        <v>48</v>
      </c>
      <c r="N20" s="37"/>
      <c r="O20" s="37"/>
      <c r="P20" s="37"/>
      <c r="Q20" s="37"/>
      <c r="R20" s="37"/>
      <c r="S20" s="39"/>
      <c r="T20" s="37" t="s">
        <v>149</v>
      </c>
    </row>
    <row r="21" spans="1:20" ht="15" thickBot="1" x14ac:dyDescent="0.45">
      <c r="A21" t="s">
        <v>4</v>
      </c>
      <c r="B21" s="14">
        <v>6.2119999999999997</v>
      </c>
      <c r="C21" s="11">
        <v>125.2</v>
      </c>
      <c r="D21" s="11"/>
      <c r="E21" s="16"/>
      <c r="F21" s="32"/>
      <c r="G21" s="36">
        <f>C21/(C19+C20+C21)</f>
        <v>1.8724295221715398E-2</v>
      </c>
      <c r="H21" s="20"/>
      <c r="I21" s="20"/>
      <c r="J21" s="15"/>
      <c r="K21">
        <f>0.38*0.5*0.185/1/44400*1000*1000</f>
        <v>0.79166666666666663</v>
      </c>
      <c r="L21" t="s">
        <v>159</v>
      </c>
      <c r="M21" s="37" t="s">
        <v>14</v>
      </c>
      <c r="N21" s="37" t="s">
        <v>16</v>
      </c>
      <c r="O21" s="37" t="s">
        <v>49</v>
      </c>
      <c r="P21" s="38" t="s">
        <v>9</v>
      </c>
      <c r="Q21" s="38" t="s">
        <v>15</v>
      </c>
      <c r="R21" s="37" t="s">
        <v>53</v>
      </c>
      <c r="T21" s="37" t="s">
        <v>16</v>
      </c>
    </row>
    <row r="22" spans="1:20" ht="15" thickBot="1" x14ac:dyDescent="0.45">
      <c r="A22" s="1" t="s">
        <v>68</v>
      </c>
      <c r="B22" s="1"/>
      <c r="C22" s="1"/>
      <c r="D22" s="1"/>
      <c r="E22" s="1"/>
      <c r="F22" s="1"/>
      <c r="G22" s="1"/>
      <c r="H22" s="1"/>
      <c r="I22" s="1"/>
      <c r="J22" s="21"/>
      <c r="M22">
        <v>0</v>
      </c>
      <c r="N22">
        <v>1</v>
      </c>
      <c r="O22">
        <v>0</v>
      </c>
      <c r="P22" s="2">
        <f>O22/(0.79/1000)</f>
        <v>0</v>
      </c>
      <c r="Q22">
        <f>0</f>
        <v>0</v>
      </c>
      <c r="R22">
        <v>0</v>
      </c>
      <c r="T22">
        <f>N22-O22</f>
        <v>1</v>
      </c>
    </row>
    <row r="23" spans="1:20" x14ac:dyDescent="0.4">
      <c r="A23" s="22" t="s">
        <v>0</v>
      </c>
      <c r="B23" s="23" t="s">
        <v>2</v>
      </c>
      <c r="C23" s="24" t="s">
        <v>1</v>
      </c>
      <c r="D23" s="24" t="s">
        <v>11</v>
      </c>
      <c r="E23" s="8" t="s">
        <v>7</v>
      </c>
      <c r="F23" s="25" t="s">
        <v>47</v>
      </c>
      <c r="G23" s="22" t="s">
        <v>12</v>
      </c>
      <c r="H23" s="15" t="s">
        <v>8</v>
      </c>
      <c r="I23" s="15" t="s">
        <v>7</v>
      </c>
      <c r="J23" s="20"/>
      <c r="M23">
        <v>1</v>
      </c>
      <c r="N23">
        <f>M23*8.56+1</f>
        <v>9.56</v>
      </c>
      <c r="O23" s="2">
        <f>E50</f>
        <v>4.1420189794294808</v>
      </c>
      <c r="P23" s="2">
        <f t="shared" ref="P23:P32" si="4">O23/(0.79/1000)</f>
        <v>5243.0619992778238</v>
      </c>
      <c r="Q23">
        <f>((O23-O22)/(0.43/1000))/(M23-M22)</f>
        <v>9632.6022777429789</v>
      </c>
      <c r="R23">
        <f>(O23-O22)/1</f>
        <v>4.1420189794294808</v>
      </c>
      <c r="S23" t="s">
        <v>50</v>
      </c>
      <c r="T23" s="2">
        <f>T22+N23-O23</f>
        <v>6.4179810205705197</v>
      </c>
    </row>
    <row r="24" spans="1:20" x14ac:dyDescent="0.4">
      <c r="A24" s="22" t="s">
        <v>3</v>
      </c>
      <c r="B24" s="26">
        <v>3.1</v>
      </c>
      <c r="C24" s="27">
        <v>7152.1</v>
      </c>
      <c r="D24" s="28">
        <f>C24/C26</f>
        <v>52.705232129697869</v>
      </c>
      <c r="E24" s="29">
        <v>0</v>
      </c>
      <c r="F24" s="29">
        <f>(E24*120.15)/1000</f>
        <v>0</v>
      </c>
      <c r="G24" s="35">
        <f>(C25/(C24+C25))</f>
        <v>0</v>
      </c>
      <c r="H24" s="19">
        <f>((G24*1000)/1.1)</f>
        <v>0</v>
      </c>
      <c r="I24" s="19">
        <f>(H24/120.15)*1000</f>
        <v>0</v>
      </c>
      <c r="J24" s="20"/>
      <c r="M24">
        <v>2</v>
      </c>
      <c r="N24">
        <f t="shared" ref="N24:N32" si="5">M24*8.56+1</f>
        <v>18.12</v>
      </c>
      <c r="O24" s="2">
        <f>E81</f>
        <v>6.4921349426197068</v>
      </c>
      <c r="P24" s="2">
        <f t="shared" si="4"/>
        <v>8217.8923324300085</v>
      </c>
      <c r="Q24">
        <f t="shared" ref="Q24:Q32" si="6">((O24-O23)/(0.43/1000))/(M24-M23)</f>
        <v>5465.3859609075025</v>
      </c>
      <c r="R24">
        <f>(O24-O23)/1</f>
        <v>2.350115963190226</v>
      </c>
      <c r="T24" s="2">
        <f>T23+N24-O24</f>
        <v>18.045846077950813</v>
      </c>
    </row>
    <row r="25" spans="1:20" x14ac:dyDescent="0.4">
      <c r="A25" s="22" t="s">
        <v>5</v>
      </c>
      <c r="B25" s="26">
        <v>4.83</v>
      </c>
      <c r="C25" s="27">
        <v>0</v>
      </c>
      <c r="D25" s="18">
        <f>C25/C26</f>
        <v>0</v>
      </c>
      <c r="E25" s="29"/>
      <c r="F25" s="29"/>
      <c r="G25" s="28"/>
      <c r="H25" s="20"/>
      <c r="I25" s="20"/>
      <c r="J25" s="20"/>
      <c r="M25">
        <v>3</v>
      </c>
      <c r="N25">
        <f t="shared" si="5"/>
        <v>26.68</v>
      </c>
      <c r="O25" s="2">
        <f>E112</f>
        <v>10.575787401574804</v>
      </c>
      <c r="P25" s="2">
        <f t="shared" si="4"/>
        <v>13387.072660221271</v>
      </c>
      <c r="Q25">
        <f>((O25-O24)/(0.43/1000))/(M25-M24)</f>
        <v>9496.8661836165047</v>
      </c>
      <c r="R25">
        <f>(O25-O24)/1</f>
        <v>4.0836524589550969</v>
      </c>
      <c r="T25" s="2">
        <f t="shared" ref="T25:T32" si="7">T24+N25-O25</f>
        <v>34.150058676376005</v>
      </c>
    </row>
    <row r="26" spans="1:20" ht="15" thickBot="1" x14ac:dyDescent="0.45">
      <c r="A26" s="22" t="s">
        <v>4</v>
      </c>
      <c r="B26" s="30">
        <v>6.2119999999999997</v>
      </c>
      <c r="C26" s="31">
        <v>135.69999999999999</v>
      </c>
      <c r="D26" s="31"/>
      <c r="E26" s="32"/>
      <c r="F26" s="32"/>
      <c r="G26" s="36">
        <f>C26/(C24+C25+C26)</f>
        <v>1.8620159718982406E-2</v>
      </c>
      <c r="H26" s="20"/>
      <c r="I26" s="20"/>
      <c r="J26" s="20"/>
      <c r="M26">
        <v>4</v>
      </c>
      <c r="N26">
        <f t="shared" si="5"/>
        <v>35.24</v>
      </c>
      <c r="O26" s="2">
        <f>E143</f>
        <v>15.769281064744858</v>
      </c>
      <c r="P26" s="2">
        <f t="shared" si="4"/>
        <v>19961.115271828934</v>
      </c>
      <c r="Q26">
        <f t="shared" si="6"/>
        <v>12077.892239930359</v>
      </c>
      <c r="R26">
        <f>(O26-O25)/1</f>
        <v>5.1934936631700541</v>
      </c>
      <c r="T26" s="2">
        <f t="shared" si="7"/>
        <v>53.620777611631155</v>
      </c>
    </row>
    <row r="27" spans="1:20" ht="15" thickBot="1" x14ac:dyDescent="0.45">
      <c r="A27" s="1" t="s">
        <v>69</v>
      </c>
      <c r="B27" s="33"/>
      <c r="C27" s="33"/>
      <c r="D27" s="33"/>
      <c r="E27" s="33"/>
      <c r="F27" s="33"/>
      <c r="G27" s="1"/>
      <c r="H27" s="1"/>
      <c r="I27" s="1"/>
      <c r="J27" s="34"/>
      <c r="M27">
        <v>18</v>
      </c>
      <c r="N27">
        <f t="shared" si="5"/>
        <v>155.08000000000001</v>
      </c>
      <c r="O27" s="2">
        <f>E174</f>
        <v>54.970699878089334</v>
      </c>
      <c r="P27" s="2">
        <f t="shared" si="4"/>
        <v>69583.164402644732</v>
      </c>
      <c r="Q27">
        <f t="shared" si="6"/>
        <v>6511.8635902565575</v>
      </c>
      <c r="R27">
        <f>(O27-O26)/14</f>
        <v>2.8001013438103195</v>
      </c>
      <c r="T27" s="2">
        <f t="shared" si="7"/>
        <v>153.73007773354183</v>
      </c>
    </row>
    <row r="28" spans="1:20" x14ac:dyDescent="0.4">
      <c r="A28" s="22" t="s">
        <v>0</v>
      </c>
      <c r="B28" s="23" t="s">
        <v>2</v>
      </c>
      <c r="C28" s="24" t="s">
        <v>1</v>
      </c>
      <c r="D28" s="24" t="s">
        <v>11</v>
      </c>
      <c r="E28" s="8" t="s">
        <v>7</v>
      </c>
      <c r="F28" s="25" t="s">
        <v>47</v>
      </c>
      <c r="G28" s="22" t="s">
        <v>12</v>
      </c>
      <c r="H28" s="15" t="s">
        <v>8</v>
      </c>
      <c r="I28" s="15" t="s">
        <v>7</v>
      </c>
      <c r="J28" s="34"/>
      <c r="M28">
        <v>20</v>
      </c>
      <c r="N28">
        <f t="shared" si="5"/>
        <v>172.20000000000002</v>
      </c>
      <c r="O28" s="2">
        <f>AVERAGE(E205,E236)</f>
        <v>54.986169562130584</v>
      </c>
      <c r="P28" s="2">
        <f t="shared" si="4"/>
        <v>69602.746281177955</v>
      </c>
      <c r="Q28">
        <f t="shared" si="6"/>
        <v>17.9880046991277</v>
      </c>
      <c r="R28">
        <f>(O28-O27)/2</f>
        <v>7.7348420206249102E-3</v>
      </c>
      <c r="T28" s="2">
        <f t="shared" si="7"/>
        <v>270.94390817141129</v>
      </c>
    </row>
    <row r="29" spans="1:20" x14ac:dyDescent="0.4">
      <c r="A29" s="22" t="s">
        <v>3</v>
      </c>
      <c r="B29" s="26">
        <v>3.14</v>
      </c>
      <c r="C29" s="20">
        <v>6463.4</v>
      </c>
      <c r="D29" s="28">
        <f>C29/C31</f>
        <v>52.505280259951256</v>
      </c>
      <c r="E29" s="29">
        <v>0</v>
      </c>
      <c r="F29" s="29">
        <f>(E29*120.15)/1000</f>
        <v>0</v>
      </c>
      <c r="G29" s="35">
        <f>(C30/(C29+C30))</f>
        <v>0</v>
      </c>
      <c r="H29" s="19">
        <f>((G29*1000)/1.1)</f>
        <v>0</v>
      </c>
      <c r="I29" s="19">
        <f>(H29/120.15)*1000</f>
        <v>0</v>
      </c>
      <c r="J29" s="34"/>
      <c r="M29">
        <v>22</v>
      </c>
      <c r="N29">
        <f t="shared" si="5"/>
        <v>189.32000000000002</v>
      </c>
      <c r="O29" s="2">
        <f>E267</f>
        <v>54.976250601250598</v>
      </c>
      <c r="P29" s="2">
        <f t="shared" si="4"/>
        <v>69590.190634494429</v>
      </c>
      <c r="Q29">
        <f t="shared" si="6"/>
        <v>-11.533675441844322</v>
      </c>
      <c r="R29">
        <f>(O29-O28)/2</f>
        <v>-4.9594804399930581E-3</v>
      </c>
      <c r="T29" s="2">
        <f t="shared" si="7"/>
        <v>405.28765757016072</v>
      </c>
    </row>
    <row r="30" spans="1:20" x14ac:dyDescent="0.4">
      <c r="A30" s="22" t="s">
        <v>5</v>
      </c>
      <c r="B30" s="26">
        <v>4.83</v>
      </c>
      <c r="C30" s="20">
        <v>0</v>
      </c>
      <c r="D30" s="18">
        <f>C30/C31</f>
        <v>0</v>
      </c>
      <c r="E30" s="29"/>
      <c r="F30" s="29"/>
      <c r="G30" s="28"/>
      <c r="H30" s="20"/>
      <c r="I30" s="20"/>
      <c r="J30" s="34"/>
      <c r="M30">
        <v>24</v>
      </c>
      <c r="N30">
        <f t="shared" si="5"/>
        <v>206.44</v>
      </c>
      <c r="O30" s="2">
        <f>E298</f>
        <v>56.442669172932334</v>
      </c>
      <c r="P30" s="2">
        <f t="shared" si="4"/>
        <v>71446.416674597887</v>
      </c>
      <c r="Q30">
        <f t="shared" si="6"/>
        <v>1705.13787404853</v>
      </c>
      <c r="R30">
        <f>(O30-O29)/2</f>
        <v>0.73320928584086786</v>
      </c>
      <c r="T30" s="2">
        <f t="shared" si="7"/>
        <v>555.2849883972284</v>
      </c>
    </row>
    <row r="31" spans="1:20" ht="15" thickBot="1" x14ac:dyDescent="0.45">
      <c r="A31" s="22" t="s">
        <v>4</v>
      </c>
      <c r="B31" s="30">
        <v>6.2119999999999997</v>
      </c>
      <c r="C31" s="31">
        <v>123.1</v>
      </c>
      <c r="D31" s="31"/>
      <c r="E31" s="32"/>
      <c r="F31" s="32"/>
      <c r="G31" s="36">
        <f>C31/(C29+C30+C31)</f>
        <v>1.8689744173688603E-2</v>
      </c>
      <c r="H31" s="20"/>
      <c r="I31" s="20"/>
      <c r="J31" s="34"/>
      <c r="M31">
        <v>46</v>
      </c>
      <c r="N31">
        <f t="shared" si="5"/>
        <v>394.76000000000005</v>
      </c>
      <c r="O31" s="2">
        <f>E329</f>
        <v>60.099240915878539</v>
      </c>
      <c r="P31" s="2">
        <f t="shared" si="4"/>
        <v>76074.988501112079</v>
      </c>
      <c r="Q31">
        <f t="shared" si="6"/>
        <v>386.52978255245301</v>
      </c>
      <c r="R31">
        <f>(O31-O30)/22</f>
        <v>0.16620780649755479</v>
      </c>
      <c r="T31" s="2">
        <f t="shared" si="7"/>
        <v>889.94574748134994</v>
      </c>
    </row>
    <row r="32" spans="1:20" x14ac:dyDescent="0.4">
      <c r="A32" s="3" t="s">
        <v>13</v>
      </c>
      <c r="B32" s="3"/>
      <c r="C32" s="3"/>
      <c r="D32" s="3"/>
      <c r="E32" s="3"/>
      <c r="F32" s="3"/>
      <c r="G32" s="3"/>
      <c r="H32" s="3"/>
      <c r="I32" s="3"/>
      <c r="J32" s="3"/>
      <c r="M32">
        <v>48</v>
      </c>
      <c r="N32">
        <f t="shared" si="5"/>
        <v>411.88</v>
      </c>
      <c r="O32" s="2">
        <f>E360</f>
        <v>59.565007037297676</v>
      </c>
      <c r="P32" s="2">
        <f t="shared" si="4"/>
        <v>75398.743085186929</v>
      </c>
      <c r="Q32">
        <f t="shared" si="6"/>
        <v>-621.202184396353</v>
      </c>
      <c r="R32">
        <f>(O32-O31)/2</f>
        <v>-0.26711693929043179</v>
      </c>
      <c r="T32" s="2">
        <f t="shared" si="7"/>
        <v>1242.2607404440523</v>
      </c>
    </row>
    <row r="33" spans="1:18" ht="15" thickBot="1" x14ac:dyDescent="0.45">
      <c r="A33" s="1" t="s">
        <v>64</v>
      </c>
      <c r="B33" s="1"/>
      <c r="C33" s="1"/>
      <c r="D33" s="1"/>
      <c r="E33" s="1"/>
      <c r="F33" s="1"/>
      <c r="G33" s="1"/>
      <c r="H33" s="1"/>
      <c r="I33" s="1"/>
      <c r="J33" s="21"/>
      <c r="O33" s="2"/>
      <c r="P33" s="2"/>
    </row>
    <row r="34" spans="1:18" x14ac:dyDescent="0.4">
      <c r="A34" s="22" t="s">
        <v>0</v>
      </c>
      <c r="B34" s="23" t="s">
        <v>2</v>
      </c>
      <c r="C34" s="24" t="s">
        <v>1</v>
      </c>
      <c r="D34" s="24" t="s">
        <v>11</v>
      </c>
      <c r="E34" s="7" t="s">
        <v>7</v>
      </c>
      <c r="F34" s="41" t="s">
        <v>47</v>
      </c>
      <c r="G34" s="22" t="s">
        <v>12</v>
      </c>
      <c r="H34" s="15" t="s">
        <v>8</v>
      </c>
      <c r="I34" s="15" t="s">
        <v>7</v>
      </c>
      <c r="J34" s="20"/>
    </row>
    <row r="35" spans="1:18" x14ac:dyDescent="0.4">
      <c r="A35" s="22" t="s">
        <v>3</v>
      </c>
      <c r="B35" s="26">
        <v>3.1</v>
      </c>
      <c r="C35" s="27">
        <v>6772.2</v>
      </c>
      <c r="D35" s="28">
        <f>C35/C37</f>
        <v>53.28245476003147</v>
      </c>
      <c r="E35" s="29">
        <f>(D36+0.0045)/0.0056</f>
        <v>30.869885916601103</v>
      </c>
      <c r="F35" s="42">
        <f>(E35*120.15)/1000</f>
        <v>3.7090167928796225</v>
      </c>
      <c r="G35" s="35">
        <f>(C36/(C35+C36))</f>
        <v>3.1500235515779557E-3</v>
      </c>
      <c r="H35" s="19">
        <f>((G35*1000)/1.1)</f>
        <v>2.8636577741617777</v>
      </c>
      <c r="I35" s="19">
        <f>(H35/120.15)*1000</f>
        <v>23.834022256860404</v>
      </c>
      <c r="J35" s="20"/>
    </row>
    <row r="36" spans="1:18" x14ac:dyDescent="0.4">
      <c r="A36" s="22" t="s">
        <v>5</v>
      </c>
      <c r="B36" s="26">
        <v>4.83</v>
      </c>
      <c r="C36" s="27">
        <v>21.4</v>
      </c>
      <c r="D36" s="18">
        <f>C36/C37</f>
        <v>0.16837136113296616</v>
      </c>
      <c r="E36" s="27"/>
      <c r="F36" s="42"/>
      <c r="G36" s="28"/>
      <c r="H36" s="20"/>
      <c r="I36" s="20"/>
      <c r="J36" s="20"/>
    </row>
    <row r="37" spans="1:18" ht="15" thickBot="1" x14ac:dyDescent="0.45">
      <c r="A37" s="22" t="s">
        <v>4</v>
      </c>
      <c r="B37" s="30">
        <v>6.2119999999999997</v>
      </c>
      <c r="C37" s="31">
        <v>127.1</v>
      </c>
      <c r="D37" s="31"/>
      <c r="E37" s="40"/>
      <c r="F37" s="43"/>
      <c r="G37" s="36">
        <f>C37/(C35+C36+C37)</f>
        <v>1.8365194272255695E-2</v>
      </c>
      <c r="H37" s="20"/>
      <c r="I37" s="20"/>
      <c r="J37" s="20"/>
      <c r="M37" s="37" t="s">
        <v>95</v>
      </c>
      <c r="N37" s="37"/>
      <c r="O37" s="37"/>
      <c r="P37" s="37"/>
      <c r="Q37" s="37"/>
      <c r="R37" s="37"/>
    </row>
    <row r="38" spans="1:18" ht="15" thickBot="1" x14ac:dyDescent="0.45">
      <c r="A38" s="1" t="s">
        <v>65</v>
      </c>
      <c r="B38" s="33"/>
      <c r="C38" s="33"/>
      <c r="D38" s="33"/>
      <c r="E38" s="33"/>
      <c r="F38" s="33"/>
      <c r="G38" s="1"/>
      <c r="H38" s="1"/>
      <c r="I38" s="1"/>
      <c r="J38" s="34"/>
      <c r="M38" s="37" t="s">
        <v>14</v>
      </c>
      <c r="N38" s="37" t="s">
        <v>16</v>
      </c>
      <c r="O38" s="37" t="s">
        <v>49</v>
      </c>
      <c r="P38" s="38" t="s">
        <v>9</v>
      </c>
      <c r="Q38" s="38" t="s">
        <v>15</v>
      </c>
      <c r="R38" s="37" t="s">
        <v>53</v>
      </c>
    </row>
    <row r="39" spans="1:18" x14ac:dyDescent="0.4">
      <c r="A39" s="22" t="s">
        <v>0</v>
      </c>
      <c r="B39" s="23" t="s">
        <v>2</v>
      </c>
      <c r="C39" s="24" t="s">
        <v>1</v>
      </c>
      <c r="D39" s="24" t="s">
        <v>11</v>
      </c>
      <c r="E39" s="8" t="s">
        <v>7</v>
      </c>
      <c r="F39" s="25" t="s">
        <v>47</v>
      </c>
      <c r="G39" s="22" t="s">
        <v>12</v>
      </c>
      <c r="H39" s="15" t="s">
        <v>8</v>
      </c>
      <c r="I39" s="15" t="s">
        <v>7</v>
      </c>
      <c r="J39" s="34"/>
      <c r="M39">
        <v>0</v>
      </c>
      <c r="N39">
        <v>1</v>
      </c>
      <c r="O39">
        <f>E38</f>
        <v>0</v>
      </c>
      <c r="P39" s="2">
        <v>0</v>
      </c>
      <c r="Q39">
        <f>0</f>
        <v>0</v>
      </c>
      <c r="R39">
        <v>0</v>
      </c>
    </row>
    <row r="40" spans="1:18" x14ac:dyDescent="0.4">
      <c r="A40" s="22" t="s">
        <v>3</v>
      </c>
      <c r="B40" s="26">
        <v>3.14</v>
      </c>
      <c r="C40" s="20">
        <v>1774.4</v>
      </c>
      <c r="D40" s="28">
        <f>C40/C42</f>
        <v>51.731778425655982</v>
      </c>
      <c r="E40" s="29">
        <f>(D41+0.0045)/0.0056</f>
        <v>14.651967930029159</v>
      </c>
      <c r="F40" s="29">
        <f>(E40*120.15)/1000</f>
        <v>1.7604339467930035</v>
      </c>
      <c r="G40" s="35">
        <f>(C41/(C40+C41))</f>
        <v>1.4968543549458092E-3</v>
      </c>
      <c r="H40" s="19">
        <f>((G40*1000)/1.1)</f>
        <v>1.360776686314372</v>
      </c>
      <c r="I40" s="19">
        <f>(H40/120.15)*1000</f>
        <v>11.325648658463354</v>
      </c>
      <c r="J40" s="34"/>
      <c r="M40">
        <v>1</v>
      </c>
      <c r="N40">
        <f>M40*8.56+1</f>
        <v>9.56</v>
      </c>
      <c r="O40" s="2">
        <f>E40</f>
        <v>14.651967930029159</v>
      </c>
      <c r="P40" s="2">
        <f>O40/(2.44/1000)</f>
        <v>6004.9048893562131</v>
      </c>
      <c r="Q40">
        <f t="shared" ref="Q40:Q49" si="8">((O40-O39)/(2.44/1000))/(M40-M39)</f>
        <v>6004.9048893562131</v>
      </c>
      <c r="R40">
        <f t="shared" ref="R40:R45" si="9">(O40-O39)/1</f>
        <v>14.651967930029159</v>
      </c>
    </row>
    <row r="41" spans="1:18" x14ac:dyDescent="0.4">
      <c r="A41" s="22" t="s">
        <v>5</v>
      </c>
      <c r="B41" s="26">
        <v>4.83</v>
      </c>
      <c r="C41" s="20">
        <v>2.66</v>
      </c>
      <c r="D41" s="18">
        <f>C41/C42</f>
        <v>7.7551020408163279E-2</v>
      </c>
      <c r="E41" s="29"/>
      <c r="F41" s="29"/>
      <c r="G41" s="28"/>
      <c r="H41" s="20"/>
      <c r="I41" s="20"/>
      <c r="J41" s="34"/>
      <c r="M41">
        <v>2</v>
      </c>
      <c r="N41">
        <f t="shared" ref="N41:N49" si="10">M41*8.56+1</f>
        <v>18.12</v>
      </c>
      <c r="O41" s="2">
        <f>E71</f>
        <v>15.348084886128365</v>
      </c>
      <c r="P41" s="2">
        <f>O41/(2.44/1000)</f>
        <v>6290.1987238231004</v>
      </c>
      <c r="Q41">
        <f t="shared" si="8"/>
        <v>285.29383446688809</v>
      </c>
      <c r="R41">
        <f t="shared" si="9"/>
        <v>0.69611695609920687</v>
      </c>
    </row>
    <row r="42" spans="1:18" ht="15" thickBot="1" x14ac:dyDescent="0.45">
      <c r="A42" s="22" t="s">
        <v>4</v>
      </c>
      <c r="B42" s="30">
        <v>6.2119999999999997</v>
      </c>
      <c r="C42" s="31">
        <v>34.299999999999997</v>
      </c>
      <c r="D42" s="31"/>
      <c r="E42" s="32"/>
      <c r="F42" s="32"/>
      <c r="G42" s="36">
        <f>C42/(C40+C41+C42)</f>
        <v>1.8936048052292199E-2</v>
      </c>
      <c r="H42" s="20"/>
      <c r="I42" s="20"/>
      <c r="J42" s="34"/>
      <c r="M42">
        <v>3</v>
      </c>
      <c r="N42">
        <f t="shared" si="10"/>
        <v>26.68</v>
      </c>
      <c r="O42" s="2">
        <f>E102</f>
        <v>16.513667783829074</v>
      </c>
      <c r="P42" s="2">
        <f>O42/(2.44/1000)</f>
        <v>6767.8966327168337</v>
      </c>
      <c r="Q42">
        <f t="shared" si="8"/>
        <v>477.6979088937332</v>
      </c>
      <c r="R42">
        <f t="shared" si="9"/>
        <v>1.165582897700709</v>
      </c>
    </row>
    <row r="43" spans="1:18" ht="15" thickBot="1" x14ac:dyDescent="0.45">
      <c r="A43" s="1" t="s">
        <v>66</v>
      </c>
      <c r="B43" s="33"/>
      <c r="C43" s="33"/>
      <c r="D43" s="33"/>
      <c r="E43" s="33"/>
      <c r="F43" s="33"/>
      <c r="G43" s="1"/>
      <c r="H43" s="1"/>
      <c r="I43" s="1"/>
      <c r="J43" s="34"/>
      <c r="M43">
        <v>4</v>
      </c>
      <c r="N43">
        <f t="shared" si="10"/>
        <v>35.24</v>
      </c>
      <c r="O43" s="2">
        <f>E133</f>
        <v>17.349172719935432</v>
      </c>
      <c r="P43" s="2">
        <f t="shared" ref="P43:P49" si="11">O43/(2.44/1000)</f>
        <v>7110.3166884981283</v>
      </c>
      <c r="Q43">
        <f t="shared" si="8"/>
        <v>342.42005578129391</v>
      </c>
      <c r="R43">
        <f t="shared" si="9"/>
        <v>0.83550493610635712</v>
      </c>
    </row>
    <row r="44" spans="1:18" x14ac:dyDescent="0.4">
      <c r="A44" t="s">
        <v>0</v>
      </c>
      <c r="B44" s="23" t="s">
        <v>2</v>
      </c>
      <c r="C44" s="24" t="s">
        <v>1</v>
      </c>
      <c r="D44" s="24" t="s">
        <v>11</v>
      </c>
      <c r="E44" s="8" t="s">
        <v>7</v>
      </c>
      <c r="F44" s="25" t="s">
        <v>47</v>
      </c>
      <c r="G44" s="22" t="s">
        <v>12</v>
      </c>
      <c r="H44" s="15" t="s">
        <v>8</v>
      </c>
      <c r="I44" s="15" t="s">
        <v>7</v>
      </c>
      <c r="J44" s="15"/>
      <c r="M44">
        <v>18</v>
      </c>
      <c r="N44">
        <f t="shared" si="10"/>
        <v>155.08000000000001</v>
      </c>
      <c r="O44" s="2">
        <f>E164</f>
        <v>24.121614242027082</v>
      </c>
      <c r="P44" s="2">
        <f t="shared" si="11"/>
        <v>9885.9074762406071</v>
      </c>
      <c r="Q44">
        <f t="shared" si="8"/>
        <v>198.25648483874855</v>
      </c>
      <c r="R44">
        <f t="shared" si="9"/>
        <v>6.7724415220916505</v>
      </c>
    </row>
    <row r="45" spans="1:18" x14ac:dyDescent="0.4">
      <c r="A45" t="s">
        <v>3</v>
      </c>
      <c r="B45" s="13">
        <v>3.1</v>
      </c>
      <c r="C45" s="20">
        <v>6191.8</v>
      </c>
      <c r="D45" s="5">
        <f>C45/C47</f>
        <v>52.33981403212173</v>
      </c>
      <c r="E45" s="29">
        <f>(D46+0.0045)/0.0056</f>
        <v>47.446488950609826</v>
      </c>
      <c r="F45" s="29">
        <f>(E45*120.15)/1000</f>
        <v>5.7006956474157704</v>
      </c>
      <c r="G45" s="35">
        <f>(C46/(C45+C46))</f>
        <v>4.9656901345075284E-3</v>
      </c>
      <c r="H45" s="19">
        <f>((G45*1000)/1.1)</f>
        <v>4.5142637586432066</v>
      </c>
      <c r="I45" s="19">
        <f>(H45/120.15)*1000</f>
        <v>37.571899780634254</v>
      </c>
      <c r="J45" s="15"/>
      <c r="M45">
        <v>20</v>
      </c>
      <c r="N45">
        <f t="shared" si="10"/>
        <v>172.20000000000002</v>
      </c>
      <c r="O45" s="2">
        <f>AVERAGE(E195,E226)</f>
        <v>23.124188311688307</v>
      </c>
      <c r="P45" s="2">
        <f t="shared" si="11"/>
        <v>9477.1263572493062</v>
      </c>
      <c r="Q45">
        <f t="shared" si="8"/>
        <v>-204.39055949565056</v>
      </c>
      <c r="R45">
        <f t="shared" si="9"/>
        <v>-0.99742593033877469</v>
      </c>
    </row>
    <row r="46" spans="1:18" x14ac:dyDescent="0.4">
      <c r="A46" t="s">
        <v>5</v>
      </c>
      <c r="B46" s="13">
        <v>4.83</v>
      </c>
      <c r="C46" s="20">
        <v>30.9</v>
      </c>
      <c r="D46" s="19">
        <f>C46/C47</f>
        <v>0.26120033812341503</v>
      </c>
      <c r="E46" s="9"/>
      <c r="F46" s="29"/>
      <c r="G46" s="28"/>
      <c r="H46" s="20"/>
      <c r="I46" s="20"/>
      <c r="J46" s="15"/>
      <c r="M46">
        <v>22</v>
      </c>
      <c r="N46">
        <f t="shared" si="10"/>
        <v>189.32000000000002</v>
      </c>
      <c r="O46" s="2">
        <f>E257</f>
        <v>25.474624060150379</v>
      </c>
      <c r="P46" s="2">
        <f t="shared" si="11"/>
        <v>10440.419696782943</v>
      </c>
      <c r="Q46">
        <f t="shared" si="8"/>
        <v>481.64666976681804</v>
      </c>
      <c r="R46">
        <f>(O46-O45)/12</f>
        <v>0.19586964570517265</v>
      </c>
    </row>
    <row r="47" spans="1:18" ht="15" thickBot="1" x14ac:dyDescent="0.45">
      <c r="A47" t="s">
        <v>4</v>
      </c>
      <c r="B47" s="14">
        <v>6.2119999999999997</v>
      </c>
      <c r="C47" s="11">
        <v>118.3</v>
      </c>
      <c r="D47" s="11"/>
      <c r="E47" s="16"/>
      <c r="F47" s="32"/>
      <c r="G47" s="36">
        <f>C47/(C45+C46+C47)</f>
        <v>1.8656363349629397E-2</v>
      </c>
      <c r="H47" s="20"/>
      <c r="I47" s="20"/>
      <c r="J47" s="15"/>
      <c r="M47">
        <v>24</v>
      </c>
      <c r="N47">
        <f t="shared" si="10"/>
        <v>206.44</v>
      </c>
      <c r="O47" s="2">
        <f>E288</f>
        <v>22.974257884972168</v>
      </c>
      <c r="P47" s="2">
        <f t="shared" si="11"/>
        <v>9415.6794610541674</v>
      </c>
      <c r="Q47">
        <f t="shared" si="8"/>
        <v>-512.37011786438757</v>
      </c>
      <c r="R47">
        <f>(O47-O46)/2</f>
        <v>-1.2501830875891056</v>
      </c>
    </row>
    <row r="48" spans="1:18" ht="15" thickBot="1" x14ac:dyDescent="0.45">
      <c r="A48" s="1" t="s">
        <v>67</v>
      </c>
      <c r="B48" s="33"/>
      <c r="C48" s="33"/>
      <c r="D48" s="33"/>
      <c r="E48" s="33"/>
      <c r="F48" s="33"/>
      <c r="G48" s="1"/>
      <c r="H48" s="1"/>
      <c r="I48" s="1"/>
      <c r="J48" s="34"/>
      <c r="M48">
        <v>46</v>
      </c>
      <c r="N48">
        <f t="shared" si="10"/>
        <v>394.76000000000005</v>
      </c>
      <c r="O48" s="2">
        <f>E319</f>
        <v>35.479651162790702</v>
      </c>
      <c r="P48" s="2">
        <f t="shared" si="11"/>
        <v>14540.840640487993</v>
      </c>
      <c r="Q48">
        <f t="shared" si="8"/>
        <v>232.96187179244663</v>
      </c>
      <c r="R48">
        <f>(O48-O47)/2</f>
        <v>6.2526966389092671</v>
      </c>
    </row>
    <row r="49" spans="1:18" x14ac:dyDescent="0.4">
      <c r="A49" t="s">
        <v>0</v>
      </c>
      <c r="B49" s="23" t="s">
        <v>2</v>
      </c>
      <c r="C49" s="24" t="s">
        <v>1</v>
      </c>
      <c r="D49" s="24" t="s">
        <v>11</v>
      </c>
      <c r="E49" s="8" t="s">
        <v>7</v>
      </c>
      <c r="F49" s="25" t="s">
        <v>47</v>
      </c>
      <c r="G49" s="22" t="s">
        <v>12</v>
      </c>
      <c r="H49" s="15" t="s">
        <v>8</v>
      </c>
      <c r="I49" s="15" t="s">
        <v>7</v>
      </c>
      <c r="J49" s="15"/>
      <c r="M49">
        <v>48</v>
      </c>
      <c r="N49">
        <f t="shared" si="10"/>
        <v>411.88</v>
      </c>
      <c r="O49" s="2">
        <f>E350</f>
        <v>37.988445378151262</v>
      </c>
      <c r="P49" s="2">
        <f t="shared" si="11"/>
        <v>15569.034991045601</v>
      </c>
      <c r="Q49">
        <f t="shared" si="8"/>
        <v>514.09717527880321</v>
      </c>
      <c r="R49">
        <f>(O49-O48)/2</f>
        <v>1.2543971076802798</v>
      </c>
    </row>
    <row r="50" spans="1:18" x14ac:dyDescent="0.4">
      <c r="A50" t="s">
        <v>3</v>
      </c>
      <c r="B50" s="13">
        <v>3.1</v>
      </c>
      <c r="C50" s="20">
        <v>6728.6</v>
      </c>
      <c r="D50" s="5">
        <f>C50/C52</f>
        <v>53.529037390612572</v>
      </c>
      <c r="E50" s="29">
        <f>(D51+0.0045)/0.0056</f>
        <v>4.1420189794294808</v>
      </c>
      <c r="F50" s="29">
        <f>(E50*120.15)/1000</f>
        <v>0.49766358037845215</v>
      </c>
      <c r="G50" s="35">
        <f>(C51/(C50+C51))</f>
        <v>3.4913348041509741E-4</v>
      </c>
      <c r="H50" s="19">
        <f>((G50*1000)/1.1)</f>
        <v>0.31739407310463397</v>
      </c>
      <c r="I50" s="19">
        <f>(H50/120.15)*1000</f>
        <v>2.6416485485196333</v>
      </c>
      <c r="J50" s="15"/>
      <c r="O50" s="2"/>
      <c r="P50" s="2"/>
    </row>
    <row r="51" spans="1:18" x14ac:dyDescent="0.4">
      <c r="A51" t="s">
        <v>5</v>
      </c>
      <c r="B51" s="13">
        <v>4.83</v>
      </c>
      <c r="C51" s="20">
        <v>2.35</v>
      </c>
      <c r="D51" s="19">
        <f>C51/C52</f>
        <v>1.8695306284805091E-2</v>
      </c>
      <c r="E51" s="9"/>
      <c r="F51" s="29"/>
      <c r="G51" s="28"/>
      <c r="H51" s="20"/>
      <c r="I51" s="20"/>
      <c r="J51" s="15"/>
    </row>
    <row r="52" spans="1:18" ht="15" thickBot="1" x14ac:dyDescent="0.45">
      <c r="A52" t="s">
        <v>4</v>
      </c>
      <c r="B52" s="14">
        <v>6.2119999999999997</v>
      </c>
      <c r="C52" s="11">
        <v>125.7</v>
      </c>
      <c r="D52" s="11"/>
      <c r="E52" s="16"/>
      <c r="F52" s="32"/>
      <c r="G52" s="36">
        <f>C52/(C50+C51+C52)</f>
        <v>1.8332567653300078E-2</v>
      </c>
      <c r="H52" s="20"/>
      <c r="I52" s="20"/>
      <c r="J52" s="15"/>
    </row>
    <row r="53" spans="1:18" ht="15" thickBot="1" x14ac:dyDescent="0.45">
      <c r="A53" s="1" t="s">
        <v>58</v>
      </c>
      <c r="B53" s="1"/>
      <c r="C53" s="1"/>
      <c r="D53" s="1"/>
      <c r="E53" s="1"/>
      <c r="F53" s="1"/>
      <c r="G53" s="1"/>
      <c r="H53" s="1"/>
      <c r="I53" s="1"/>
      <c r="J53" s="21"/>
    </row>
    <row r="54" spans="1:18" x14ac:dyDescent="0.4">
      <c r="A54" s="22" t="s">
        <v>0</v>
      </c>
      <c r="B54" s="23" t="s">
        <v>2</v>
      </c>
      <c r="C54" s="24" t="s">
        <v>1</v>
      </c>
      <c r="D54" s="24" t="s">
        <v>11</v>
      </c>
      <c r="E54" s="8" t="s">
        <v>7</v>
      </c>
      <c r="F54" s="25" t="s">
        <v>47</v>
      </c>
      <c r="G54" s="22" t="s">
        <v>12</v>
      </c>
      <c r="H54" s="15" t="s">
        <v>8</v>
      </c>
      <c r="I54" s="15" t="s">
        <v>7</v>
      </c>
      <c r="J54" s="20"/>
      <c r="M54" s="37" t="s">
        <v>94</v>
      </c>
      <c r="N54" s="37"/>
      <c r="O54" s="37"/>
      <c r="P54" s="37"/>
      <c r="Q54" s="37"/>
      <c r="R54" s="37"/>
    </row>
    <row r="55" spans="1:18" x14ac:dyDescent="0.4">
      <c r="A55" s="22" t="s">
        <v>3</v>
      </c>
      <c r="B55" s="26">
        <v>3.1</v>
      </c>
      <c r="C55" s="27">
        <v>1591</v>
      </c>
      <c r="D55" s="28">
        <f>C55/C57</f>
        <v>51.824104234527688</v>
      </c>
      <c r="E55" s="29">
        <f>(D56+0.0045)/0.0056</f>
        <v>13.076721731037692</v>
      </c>
      <c r="F55" s="29">
        <f>(E55*120.15)/1000</f>
        <v>1.5711681159841786</v>
      </c>
      <c r="G55" s="35">
        <f>(C56/(C55+C56))</f>
        <v>1.3244534275724841E-3</v>
      </c>
      <c r="H55" s="19">
        <f>((G55*1000)/1.1)</f>
        <v>1.20404857052044</v>
      </c>
      <c r="I55" s="19">
        <f>(H55/120.15)*1000</f>
        <v>10.021211573203828</v>
      </c>
      <c r="J55" s="20"/>
      <c r="M55" s="37" t="s">
        <v>14</v>
      </c>
      <c r="N55" s="37" t="s">
        <v>16</v>
      </c>
      <c r="O55" s="37" t="s">
        <v>49</v>
      </c>
      <c r="P55" s="38" t="s">
        <v>9</v>
      </c>
      <c r="Q55" s="38" t="s">
        <v>15</v>
      </c>
      <c r="R55" s="37" t="s">
        <v>53</v>
      </c>
    </row>
    <row r="56" spans="1:18" x14ac:dyDescent="0.4">
      <c r="A56" s="22" t="s">
        <v>5</v>
      </c>
      <c r="B56" s="26">
        <v>4.83</v>
      </c>
      <c r="C56" s="27">
        <v>2.11</v>
      </c>
      <c r="D56" s="18">
        <f>C56/C57</f>
        <v>6.8729641693811072E-2</v>
      </c>
      <c r="E56" s="29"/>
      <c r="F56" s="29"/>
      <c r="G56" s="28"/>
      <c r="H56" s="20"/>
      <c r="I56" s="20"/>
      <c r="J56" s="20"/>
      <c r="M56">
        <v>0</v>
      </c>
      <c r="N56">
        <v>1</v>
      </c>
      <c r="O56">
        <v>0</v>
      </c>
      <c r="P56" s="2">
        <f>O56/(0.43/1000)</f>
        <v>0</v>
      </c>
      <c r="Q56">
        <f>0</f>
        <v>0</v>
      </c>
      <c r="R56">
        <v>0</v>
      </c>
    </row>
    <row r="57" spans="1:18" ht="15" thickBot="1" x14ac:dyDescent="0.45">
      <c r="A57" s="22" t="s">
        <v>4</v>
      </c>
      <c r="B57" s="30">
        <v>6.2119999999999997</v>
      </c>
      <c r="C57" s="31">
        <v>30.7</v>
      </c>
      <c r="D57" s="31"/>
      <c r="E57" s="32"/>
      <c r="F57" s="32"/>
      <c r="G57" s="36">
        <f>C57/(C55+C56+C57)</f>
        <v>1.8906152813444922E-2</v>
      </c>
      <c r="H57" s="20"/>
      <c r="I57" s="20"/>
      <c r="J57" s="20"/>
      <c r="M57">
        <v>1</v>
      </c>
      <c r="N57">
        <f>M57*8.56+1</f>
        <v>9.56</v>
      </c>
      <c r="O57" s="2">
        <f>E55</f>
        <v>13.076721731037692</v>
      </c>
      <c r="P57" s="2">
        <f>O57/(0.43/1000)</f>
        <v>30410.980769855098</v>
      </c>
      <c r="Q57">
        <f>((O57-O56)/(0.43/1000))/(M57-M56)</f>
        <v>30410.980769855098</v>
      </c>
      <c r="R57">
        <f t="shared" ref="R57:R62" si="12">(O57-O56)/1</f>
        <v>13.076721731037692</v>
      </c>
    </row>
    <row r="58" spans="1:18" ht="15" thickBot="1" x14ac:dyDescent="0.45">
      <c r="A58" s="1" t="s">
        <v>59</v>
      </c>
      <c r="B58" s="33"/>
      <c r="C58" s="33"/>
      <c r="D58" s="33"/>
      <c r="E58" s="33"/>
      <c r="F58" s="33"/>
      <c r="G58" s="1"/>
      <c r="H58" s="1"/>
      <c r="I58" s="1"/>
      <c r="J58" s="34"/>
      <c r="M58">
        <v>2</v>
      </c>
      <c r="N58">
        <f t="shared" ref="N58:N66" si="13">M58*8.56+1</f>
        <v>18.12</v>
      </c>
      <c r="O58" s="2">
        <f>E86</f>
        <v>12.857142857142859</v>
      </c>
      <c r="P58" s="2">
        <f>O58/(0.43/1000)</f>
        <v>29900.332225913626</v>
      </c>
      <c r="Q58">
        <f t="shared" ref="Q58:Q66" si="14">((O58-O57)/(0.43/1000))/(M58-M57)</f>
        <v>-510.64854394147056</v>
      </c>
      <c r="R58">
        <f t="shared" si="12"/>
        <v>-0.21957887389483233</v>
      </c>
    </row>
    <row r="59" spans="1:18" x14ac:dyDescent="0.4">
      <c r="A59" s="22" t="s">
        <v>0</v>
      </c>
      <c r="B59" s="23" t="s">
        <v>2</v>
      </c>
      <c r="C59" s="24" t="s">
        <v>1</v>
      </c>
      <c r="D59" s="24" t="s">
        <v>11</v>
      </c>
      <c r="E59" s="8" t="s">
        <v>7</v>
      </c>
      <c r="F59" s="25" t="s">
        <v>47</v>
      </c>
      <c r="G59" s="22" t="s">
        <v>12</v>
      </c>
      <c r="H59" s="15" t="s">
        <v>8</v>
      </c>
      <c r="I59" s="15" t="s">
        <v>7</v>
      </c>
      <c r="J59" s="34"/>
      <c r="M59">
        <v>3</v>
      </c>
      <c r="N59">
        <f t="shared" si="13"/>
        <v>26.68</v>
      </c>
      <c r="O59" s="2">
        <f>E117</f>
        <v>13.378215434083602</v>
      </c>
      <c r="P59" s="2">
        <f>O59/(0.43/1000)</f>
        <v>31112.128916473495</v>
      </c>
      <c r="Q59">
        <f>((O59-O58)/(0.43/1000))/(M59-M58)</f>
        <v>1211.7966905598662</v>
      </c>
      <c r="R59">
        <f t="shared" si="12"/>
        <v>0.52107257694074249</v>
      </c>
    </row>
    <row r="60" spans="1:18" x14ac:dyDescent="0.4">
      <c r="A60" s="22" t="s">
        <v>3</v>
      </c>
      <c r="B60" s="26">
        <v>3.14</v>
      </c>
      <c r="C60" s="20">
        <v>6162.2</v>
      </c>
      <c r="D60" s="28">
        <f>C60/C62</f>
        <v>53.076658053402241</v>
      </c>
      <c r="E60" s="29">
        <f>(D61+0.0045)/0.0056</f>
        <v>27.873831056970598</v>
      </c>
      <c r="F60" s="29">
        <f>(E60*120.15)/1000</f>
        <v>3.3490408014950175</v>
      </c>
      <c r="G60" s="35">
        <f>(C61/(C60+C61))</f>
        <v>2.847988608045568E-3</v>
      </c>
      <c r="H60" s="19">
        <f>((G60*1000)/1.1)</f>
        <v>2.589080552768698</v>
      </c>
      <c r="I60" s="19">
        <f>(H60/120.15)*1000</f>
        <v>21.548735353880133</v>
      </c>
      <c r="J60" s="34"/>
      <c r="M60">
        <v>4</v>
      </c>
      <c r="N60">
        <f t="shared" si="13"/>
        <v>35.24</v>
      </c>
      <c r="O60" s="2">
        <f>E148</f>
        <v>13.967145015105739</v>
      </c>
      <c r="P60" s="2">
        <f>O60/(0.43/1000)</f>
        <v>32481.73259326916</v>
      </c>
      <c r="Q60">
        <f t="shared" si="14"/>
        <v>1369.6036767956682</v>
      </c>
      <c r="R60">
        <f t="shared" si="12"/>
        <v>0.58892958102213733</v>
      </c>
    </row>
    <row r="61" spans="1:18" x14ac:dyDescent="0.4">
      <c r="A61" s="22" t="s">
        <v>5</v>
      </c>
      <c r="B61" s="26">
        <v>4.83</v>
      </c>
      <c r="C61" s="20">
        <v>17.600000000000001</v>
      </c>
      <c r="D61" s="18">
        <f>C61/C62</f>
        <v>0.15159345391903534</v>
      </c>
      <c r="E61" s="29"/>
      <c r="F61" s="29"/>
      <c r="G61" s="28"/>
      <c r="H61" s="20"/>
      <c r="I61" s="20"/>
      <c r="J61" s="34"/>
      <c r="M61">
        <v>18</v>
      </c>
      <c r="N61">
        <f t="shared" si="13"/>
        <v>155.08000000000001</v>
      </c>
      <c r="O61" s="2">
        <f>E179</f>
        <v>20.228112404836544</v>
      </c>
      <c r="P61" s="2">
        <f t="shared" ref="P61:P66" si="15">O61/(0.43/1000)</f>
        <v>47042.121871712894</v>
      </c>
      <c r="Q61">
        <f t="shared" si="14"/>
        <v>1040.0278056031236</v>
      </c>
      <c r="R61">
        <f t="shared" si="12"/>
        <v>6.2609673897308049</v>
      </c>
    </row>
    <row r="62" spans="1:18" ht="15" thickBot="1" x14ac:dyDescent="0.45">
      <c r="A62" s="22" t="s">
        <v>4</v>
      </c>
      <c r="B62" s="30">
        <v>6.2119999999999997</v>
      </c>
      <c r="C62" s="31">
        <v>116.1</v>
      </c>
      <c r="D62" s="31"/>
      <c r="E62" s="32"/>
      <c r="F62" s="32"/>
      <c r="G62" s="36">
        <f>C62/(C60+C61+C62)</f>
        <v>1.8440572436029794E-2</v>
      </c>
      <c r="H62" s="20"/>
      <c r="I62" s="20"/>
      <c r="J62" s="34"/>
      <c r="M62">
        <v>20</v>
      </c>
      <c r="N62">
        <f t="shared" si="13"/>
        <v>172.20000000000002</v>
      </c>
      <c r="O62" s="2">
        <f>AVERAGE(E210,E241)</f>
        <v>19.884557344064387</v>
      </c>
      <c r="P62" s="2">
        <f t="shared" si="15"/>
        <v>46243.156614103224</v>
      </c>
      <c r="Q62">
        <f t="shared" si="14"/>
        <v>-399.48262880483418</v>
      </c>
      <c r="R62">
        <f t="shared" si="12"/>
        <v>-0.34355506077215736</v>
      </c>
    </row>
    <row r="63" spans="1:18" x14ac:dyDescent="0.4">
      <c r="A63" s="3" t="s">
        <v>13</v>
      </c>
      <c r="B63" s="3"/>
      <c r="C63" s="3"/>
      <c r="D63" s="3"/>
      <c r="E63" s="3"/>
      <c r="F63" s="3"/>
      <c r="G63" s="3"/>
      <c r="H63" s="3"/>
      <c r="I63" s="3"/>
      <c r="J63" s="3"/>
      <c r="M63">
        <v>22</v>
      </c>
      <c r="N63">
        <f t="shared" si="13"/>
        <v>189.32000000000002</v>
      </c>
      <c r="O63" s="2">
        <f>E272</f>
        <v>20.208333333333332</v>
      </c>
      <c r="P63" s="2">
        <f t="shared" si="15"/>
        <v>46996.124031007748</v>
      </c>
      <c r="Q63">
        <f t="shared" si="14"/>
        <v>376.48370845226202</v>
      </c>
      <c r="R63">
        <f>(O63-O62)/12</f>
        <v>2.6981332439078781E-2</v>
      </c>
    </row>
    <row r="64" spans="1:18" ht="15" thickBot="1" x14ac:dyDescent="0.45">
      <c r="A64" s="1" t="s">
        <v>70</v>
      </c>
      <c r="B64" s="1"/>
      <c r="C64" s="1"/>
      <c r="D64" s="1"/>
      <c r="E64" s="1"/>
      <c r="F64" s="1"/>
      <c r="G64" s="1"/>
      <c r="H64" s="1"/>
      <c r="I64" s="1"/>
      <c r="J64" s="21"/>
      <c r="M64">
        <v>24</v>
      </c>
      <c r="N64">
        <f t="shared" si="13"/>
        <v>206.44</v>
      </c>
      <c r="O64" s="2">
        <f>E303</f>
        <v>21.147151898734176</v>
      </c>
      <c r="P64" s="2">
        <f t="shared" si="15"/>
        <v>49179.423020312039</v>
      </c>
      <c r="Q64">
        <f t="shared" si="14"/>
        <v>1091.6494946521441</v>
      </c>
      <c r="R64">
        <f>(O64-O63)/2</f>
        <v>0.46940928270042193</v>
      </c>
    </row>
    <row r="65" spans="1:18" x14ac:dyDescent="0.4">
      <c r="A65" s="22" t="s">
        <v>0</v>
      </c>
      <c r="B65" s="23" t="s">
        <v>2</v>
      </c>
      <c r="C65" s="24" t="s">
        <v>1</v>
      </c>
      <c r="D65" s="24" t="s">
        <v>11</v>
      </c>
      <c r="E65" s="7" t="s">
        <v>7</v>
      </c>
      <c r="F65" s="41" t="s">
        <v>47</v>
      </c>
      <c r="G65" s="22" t="s">
        <v>12</v>
      </c>
      <c r="H65" s="15" t="s">
        <v>8</v>
      </c>
      <c r="I65" s="15" t="s">
        <v>7</v>
      </c>
      <c r="J65" s="20"/>
      <c r="M65">
        <v>46</v>
      </c>
      <c r="N65">
        <f t="shared" si="13"/>
        <v>394.76000000000005</v>
      </c>
      <c r="O65" s="2">
        <f>E334</f>
        <v>27.946428571428573</v>
      </c>
      <c r="P65" s="2">
        <f t="shared" si="15"/>
        <v>64991.694352159473</v>
      </c>
      <c r="Q65">
        <f t="shared" si="14"/>
        <v>718.7396059930652</v>
      </c>
      <c r="R65">
        <f>(O65-O64)/2</f>
        <v>3.3996383363471985</v>
      </c>
    </row>
    <row r="66" spans="1:18" x14ac:dyDescent="0.4">
      <c r="A66" s="22" t="s">
        <v>3</v>
      </c>
      <c r="B66" s="26">
        <v>3.1</v>
      </c>
      <c r="C66" s="27">
        <v>6957.9</v>
      </c>
      <c r="D66" s="28">
        <f>C66/C68</f>
        <v>53.235654169854634</v>
      </c>
      <c r="E66" s="29">
        <f>(D67+0.0045)/0.0056</f>
        <v>42.201538419499407</v>
      </c>
      <c r="F66" s="42">
        <f>(E66*120.15)/1000</f>
        <v>5.0705148411028542</v>
      </c>
      <c r="G66" s="35">
        <f>(C67/(C66+C67))</f>
        <v>4.3358804842448702E-3</v>
      </c>
      <c r="H66" s="19">
        <f>((G66*1000)/1.1)</f>
        <v>3.9417095311316999</v>
      </c>
      <c r="I66" s="19">
        <f>(H66/120.15)*1000</f>
        <v>32.806571212082396</v>
      </c>
      <c r="J66" s="20"/>
      <c r="M66">
        <v>48</v>
      </c>
      <c r="N66">
        <f t="shared" si="13"/>
        <v>411.88</v>
      </c>
      <c r="O66" s="2">
        <f>E365</f>
        <v>32.157392026578073</v>
      </c>
      <c r="P66" s="2">
        <f t="shared" si="15"/>
        <v>74784.632619949014</v>
      </c>
      <c r="Q66">
        <f t="shared" si="14"/>
        <v>4896.4691338947678</v>
      </c>
      <c r="R66">
        <f>(O66-O65)/2</f>
        <v>2.1054817275747499</v>
      </c>
    </row>
    <row r="67" spans="1:18" x14ac:dyDescent="0.4">
      <c r="A67" s="22" t="s">
        <v>5</v>
      </c>
      <c r="B67" s="26">
        <v>4.83</v>
      </c>
      <c r="C67" s="27">
        <v>30.3</v>
      </c>
      <c r="D67" s="18">
        <f>C67/C68</f>
        <v>0.23182861514919667</v>
      </c>
      <c r="E67" s="27"/>
      <c r="F67" s="42"/>
      <c r="G67" s="28"/>
      <c r="H67" s="20"/>
      <c r="I67" s="20"/>
      <c r="J67" s="20"/>
    </row>
    <row r="68" spans="1:18" ht="15" thickBot="1" x14ac:dyDescent="0.45">
      <c r="A68" s="22" t="s">
        <v>4</v>
      </c>
      <c r="B68" s="30">
        <v>6.2119999999999997</v>
      </c>
      <c r="C68" s="31">
        <v>130.69999999999999</v>
      </c>
      <c r="D68" s="31"/>
      <c r="E68" s="40"/>
      <c r="F68" s="43"/>
      <c r="G68" s="36">
        <f>C68/(C66+C67+C68)</f>
        <v>1.8359578024694827E-2</v>
      </c>
      <c r="H68" s="20"/>
      <c r="I68" s="20"/>
      <c r="J68" s="20"/>
    </row>
    <row r="69" spans="1:18" ht="15" thickBot="1" x14ac:dyDescent="0.45">
      <c r="A69" s="1" t="s">
        <v>71</v>
      </c>
      <c r="B69" s="33"/>
      <c r="C69" s="33"/>
      <c r="D69" s="33"/>
      <c r="E69" s="33"/>
      <c r="F69" s="33"/>
      <c r="G69" s="1"/>
      <c r="H69" s="1"/>
      <c r="I69" s="1"/>
      <c r="J69" s="34"/>
    </row>
    <row r="70" spans="1:18" x14ac:dyDescent="0.4">
      <c r="A70" s="22" t="s">
        <v>0</v>
      </c>
      <c r="B70" s="23" t="s">
        <v>2</v>
      </c>
      <c r="C70" s="24" t="s">
        <v>1</v>
      </c>
      <c r="D70" s="24" t="s">
        <v>11</v>
      </c>
      <c r="E70" s="8" t="s">
        <v>7</v>
      </c>
      <c r="F70" s="25" t="s">
        <v>47</v>
      </c>
      <c r="G70" s="22" t="s">
        <v>12</v>
      </c>
      <c r="H70" s="15" t="s">
        <v>8</v>
      </c>
      <c r="I70" s="15" t="s">
        <v>7</v>
      </c>
      <c r="J70" s="34"/>
    </row>
    <row r="71" spans="1:18" x14ac:dyDescent="0.4">
      <c r="A71" s="22" t="s">
        <v>3</v>
      </c>
      <c r="B71" s="26">
        <v>3.14</v>
      </c>
      <c r="C71" s="20">
        <v>1765.9</v>
      </c>
      <c r="D71" s="28">
        <f>C71/C73</f>
        <v>51.185507246376815</v>
      </c>
      <c r="E71" s="29">
        <f>(D72+0.0045)/0.0056</f>
        <v>15.348084886128365</v>
      </c>
      <c r="F71" s="29">
        <f>(E71*120.15)/1000</f>
        <v>1.8440723990683232</v>
      </c>
      <c r="G71" s="35">
        <f>(C72/(C71+C72))</f>
        <v>1.588728508347892E-3</v>
      </c>
      <c r="H71" s="19">
        <f>((G71*1000)/1.1)</f>
        <v>1.4442986439526289</v>
      </c>
      <c r="I71" s="19">
        <f>(H71/120.15)*1000</f>
        <v>12.020796037891209</v>
      </c>
      <c r="J71" s="34"/>
    </row>
    <row r="72" spans="1:18" x14ac:dyDescent="0.4">
      <c r="A72" s="22" t="s">
        <v>5</v>
      </c>
      <c r="B72" s="26">
        <v>4.83</v>
      </c>
      <c r="C72" s="20">
        <v>2.81</v>
      </c>
      <c r="D72" s="18">
        <f>C72/C73</f>
        <v>8.1449275362318843E-2</v>
      </c>
      <c r="E72" s="29"/>
      <c r="F72" s="29"/>
      <c r="G72" s="28"/>
      <c r="H72" s="20"/>
      <c r="I72" s="20"/>
      <c r="J72" s="34"/>
      <c r="M72" s="37" t="s">
        <v>108</v>
      </c>
      <c r="N72" s="37"/>
      <c r="O72" s="37"/>
      <c r="P72" s="37"/>
      <c r="Q72" s="37"/>
      <c r="R72" s="37"/>
    </row>
    <row r="73" spans="1:18" ht="15" thickBot="1" x14ac:dyDescent="0.45">
      <c r="A73" s="22" t="s">
        <v>4</v>
      </c>
      <c r="B73" s="30">
        <v>6.2119999999999997</v>
      </c>
      <c r="C73" s="31">
        <v>34.5</v>
      </c>
      <c r="D73" s="31"/>
      <c r="E73" s="32"/>
      <c r="F73" s="32"/>
      <c r="G73" s="36">
        <f>C73/(C71+C72+C73)</f>
        <v>1.9132546957925035E-2</v>
      </c>
      <c r="H73" s="20"/>
      <c r="I73" s="20"/>
      <c r="J73" s="34"/>
      <c r="M73" s="37" t="s">
        <v>14</v>
      </c>
      <c r="N73" s="37" t="s">
        <v>16</v>
      </c>
      <c r="O73" s="37" t="s">
        <v>49</v>
      </c>
      <c r="P73" s="38" t="s">
        <v>9</v>
      </c>
      <c r="Q73" s="38" t="s">
        <v>15</v>
      </c>
      <c r="R73" s="37" t="s">
        <v>53</v>
      </c>
    </row>
    <row r="74" spans="1:18" ht="15" thickBot="1" x14ac:dyDescent="0.45">
      <c r="A74" s="1" t="s">
        <v>72</v>
      </c>
      <c r="B74" s="33"/>
      <c r="C74" s="33"/>
      <c r="D74" s="33"/>
      <c r="E74" s="33"/>
      <c r="F74" s="33"/>
      <c r="G74" s="1"/>
      <c r="H74" s="1"/>
      <c r="I74" s="1"/>
      <c r="J74" s="34"/>
      <c r="M74">
        <v>0</v>
      </c>
      <c r="N74">
        <v>1</v>
      </c>
      <c r="O74">
        <f>E73</f>
        <v>0</v>
      </c>
      <c r="P74" s="2">
        <v>0</v>
      </c>
      <c r="Q74">
        <f>0</f>
        <v>0</v>
      </c>
      <c r="R74">
        <v>0</v>
      </c>
    </row>
    <row r="75" spans="1:18" x14ac:dyDescent="0.4">
      <c r="A75" t="s">
        <v>0</v>
      </c>
      <c r="B75" s="23" t="s">
        <v>2</v>
      </c>
      <c r="C75" s="24" t="s">
        <v>1</v>
      </c>
      <c r="D75" s="24" t="s">
        <v>11</v>
      </c>
      <c r="E75" s="8" t="s">
        <v>7</v>
      </c>
      <c r="F75" s="25" t="s">
        <v>47</v>
      </c>
      <c r="G75" s="22" t="s">
        <v>12</v>
      </c>
      <c r="H75" s="15" t="s">
        <v>8</v>
      </c>
      <c r="I75" s="15" t="s">
        <v>7</v>
      </c>
      <c r="J75" s="15"/>
      <c r="M75">
        <v>1</v>
      </c>
      <c r="N75">
        <f>M75*8.56+1</f>
        <v>9.56</v>
      </c>
      <c r="O75" s="2">
        <f>E45</f>
        <v>47.446488950609826</v>
      </c>
      <c r="P75" s="2">
        <f>O75/(2.44/1000)</f>
        <v>19445.282356807307</v>
      </c>
      <c r="Q75">
        <f t="shared" ref="Q75:Q84" si="16">((O75-O74)/(2.44/1000))/(M75-M74)</f>
        <v>19445.282356807307</v>
      </c>
      <c r="R75">
        <f t="shared" ref="R75:R80" si="17">(O75-O74)/1</f>
        <v>47.446488950609826</v>
      </c>
    </row>
    <row r="76" spans="1:18" x14ac:dyDescent="0.4">
      <c r="A76" t="s">
        <v>3</v>
      </c>
      <c r="B76" s="13">
        <v>3.1</v>
      </c>
      <c r="C76" s="20">
        <v>6487.3</v>
      </c>
      <c r="D76" s="5">
        <f>C76/C78</f>
        <v>52.232689210950078</v>
      </c>
      <c r="E76" s="29">
        <f>(D77+0.0045)/0.0056</f>
        <v>56.301616057050836</v>
      </c>
      <c r="F76" s="29">
        <f>(E76*120.15)/1000</f>
        <v>6.7646391692546581</v>
      </c>
      <c r="G76" s="35">
        <f>(C77/(C76+C77))</f>
        <v>5.9148929649550253E-3</v>
      </c>
      <c r="H76" s="19">
        <f>((G76*1000)/1.1)</f>
        <v>5.3771754226863866</v>
      </c>
      <c r="I76" s="19">
        <f>(H76/120.15)*1000</f>
        <v>44.753852872962021</v>
      </c>
      <c r="J76" s="15"/>
      <c r="M76">
        <v>2</v>
      </c>
      <c r="N76">
        <f t="shared" ref="N76:N84" si="18">M76*8.56+1</f>
        <v>18.12</v>
      </c>
      <c r="O76" s="2">
        <f>E76</f>
        <v>56.301616057050836</v>
      </c>
      <c r="P76" s="2">
        <f>O76/(2.44/1000)</f>
        <v>23074.432810266739</v>
      </c>
      <c r="Q76">
        <f t="shared" si="16"/>
        <v>3629.1504534594305</v>
      </c>
      <c r="R76">
        <f t="shared" si="17"/>
        <v>8.8551271064410102</v>
      </c>
    </row>
    <row r="77" spans="1:18" x14ac:dyDescent="0.4">
      <c r="A77" t="s">
        <v>5</v>
      </c>
      <c r="B77" s="13">
        <v>4.83</v>
      </c>
      <c r="C77" s="20">
        <v>38.6</v>
      </c>
      <c r="D77" s="19">
        <f>C77/C78</f>
        <v>0.31078904991948469</v>
      </c>
      <c r="E77" s="9"/>
      <c r="F77" s="29"/>
      <c r="G77" s="28"/>
      <c r="H77" s="20"/>
      <c r="I77" s="20"/>
      <c r="J77" s="15"/>
      <c r="M77">
        <v>3</v>
      </c>
      <c r="N77">
        <f t="shared" si="18"/>
        <v>26.68</v>
      </c>
      <c r="O77" s="2">
        <f>E107</f>
        <v>59.929228380315337</v>
      </c>
      <c r="P77" s="2">
        <f>O77/(2.44/1000)</f>
        <v>24561.159172260384</v>
      </c>
      <c r="Q77">
        <f t="shared" si="16"/>
        <v>1486.7263619936477</v>
      </c>
      <c r="R77">
        <f t="shared" si="17"/>
        <v>3.6276123232645006</v>
      </c>
    </row>
    <row r="78" spans="1:18" ht="15" thickBot="1" x14ac:dyDescent="0.45">
      <c r="A78" t="s">
        <v>4</v>
      </c>
      <c r="B78" s="14">
        <v>6.2119999999999997</v>
      </c>
      <c r="C78" s="11">
        <v>124.2</v>
      </c>
      <c r="D78" s="11"/>
      <c r="E78" s="16"/>
      <c r="F78" s="32"/>
      <c r="G78" s="36">
        <f>C78/(C76+C77+C78)</f>
        <v>1.8676410881039381E-2</v>
      </c>
      <c r="H78" s="20"/>
      <c r="I78" s="20"/>
      <c r="J78" s="15"/>
      <c r="M78">
        <v>4</v>
      </c>
      <c r="N78">
        <f t="shared" si="18"/>
        <v>35.24</v>
      </c>
      <c r="O78" s="2">
        <f>E138</f>
        <v>61.889941989921482</v>
      </c>
      <c r="P78" s="2">
        <f t="shared" ref="P78:P84" si="19">O78/(2.44/1000)</f>
        <v>25364.730323738313</v>
      </c>
      <c r="Q78">
        <f t="shared" si="16"/>
        <v>803.57115147792842</v>
      </c>
      <c r="R78">
        <f t="shared" si="17"/>
        <v>1.9607136096061453</v>
      </c>
    </row>
    <row r="79" spans="1:18" ht="15" thickBot="1" x14ac:dyDescent="0.45">
      <c r="A79" s="1" t="s">
        <v>73</v>
      </c>
      <c r="B79" s="33"/>
      <c r="C79" s="33"/>
      <c r="D79" s="33"/>
      <c r="E79" s="33"/>
      <c r="F79" s="33"/>
      <c r="G79" s="1"/>
      <c r="H79" s="1"/>
      <c r="I79" s="1"/>
      <c r="J79" s="34"/>
      <c r="M79">
        <v>18</v>
      </c>
      <c r="N79">
        <f t="shared" si="18"/>
        <v>155.08000000000001</v>
      </c>
      <c r="O79" s="2">
        <f>E169</f>
        <v>68.403475711892796</v>
      </c>
      <c r="P79" s="2">
        <f t="shared" si="19"/>
        <v>28034.211357333115</v>
      </c>
      <c r="Q79">
        <f t="shared" si="16"/>
        <v>190.67721668534293</v>
      </c>
      <c r="R79">
        <f t="shared" si="17"/>
        <v>6.5135337219713136</v>
      </c>
    </row>
    <row r="80" spans="1:18" x14ac:dyDescent="0.4">
      <c r="A80" t="s">
        <v>0</v>
      </c>
      <c r="B80" s="23" t="s">
        <v>2</v>
      </c>
      <c r="C80" s="24" t="s">
        <v>1</v>
      </c>
      <c r="D80" s="24" t="s">
        <v>11</v>
      </c>
      <c r="E80" s="8" t="s">
        <v>7</v>
      </c>
      <c r="F80" s="25" t="s">
        <v>47</v>
      </c>
      <c r="G80" s="22" t="s">
        <v>12</v>
      </c>
      <c r="H80" s="15" t="s">
        <v>8</v>
      </c>
      <c r="I80" s="15" t="s">
        <v>7</v>
      </c>
      <c r="J80" s="15"/>
      <c r="M80">
        <v>20</v>
      </c>
      <c r="N80">
        <f t="shared" si="18"/>
        <v>172.20000000000002</v>
      </c>
      <c r="O80" s="2">
        <f>AVERAGE(E200,E231)</f>
        <v>65.980765227400752</v>
      </c>
      <c r="P80" s="2">
        <f t="shared" si="19"/>
        <v>27041.297224344573</v>
      </c>
      <c r="Q80">
        <f t="shared" si="16"/>
        <v>-496.4570664942712</v>
      </c>
      <c r="R80">
        <f t="shared" si="17"/>
        <v>-2.4227104844920433</v>
      </c>
    </row>
    <row r="81" spans="1:18" x14ac:dyDescent="0.4">
      <c r="A81" t="s">
        <v>3</v>
      </c>
      <c r="B81" s="13">
        <v>3.1</v>
      </c>
      <c r="C81" s="20">
        <v>5739.4</v>
      </c>
      <c r="D81" s="5">
        <f>C81/C83</f>
        <v>52.995383194829174</v>
      </c>
      <c r="E81" s="29">
        <f>(D82+0.0045)/0.0056</f>
        <v>6.4921349426197068</v>
      </c>
      <c r="F81" s="29">
        <f>(E81*120.15)/1000</f>
        <v>0.78003001335575772</v>
      </c>
      <c r="G81" s="35">
        <f>(C82/(C81+C82))</f>
        <v>6.007470158544974E-4</v>
      </c>
      <c r="H81" s="19">
        <f>((G81*1000)/1.1)</f>
        <v>0.54613365077681575</v>
      </c>
      <c r="I81" s="19">
        <f>(H81/120.15)*1000</f>
        <v>4.54543196651532</v>
      </c>
      <c r="J81" s="15"/>
      <c r="M81">
        <v>22</v>
      </c>
      <c r="N81">
        <f t="shared" si="18"/>
        <v>189.32000000000002</v>
      </c>
      <c r="O81" s="2">
        <f>E262</f>
        <v>66.074507389162562</v>
      </c>
      <c r="P81" s="2">
        <f t="shared" si="19"/>
        <v>27079.716143099413</v>
      </c>
      <c r="Q81">
        <f t="shared" si="16"/>
        <v>19.209459377420071</v>
      </c>
      <c r="R81">
        <f>(O81-O80)/12</f>
        <v>7.8118468134841619E-3</v>
      </c>
    </row>
    <row r="82" spans="1:18" x14ac:dyDescent="0.4">
      <c r="A82" t="s">
        <v>5</v>
      </c>
      <c r="B82" s="13">
        <v>4.83</v>
      </c>
      <c r="C82" s="20">
        <v>3.45</v>
      </c>
      <c r="D82" s="19">
        <f>C82/C83</f>
        <v>3.1855955678670361E-2</v>
      </c>
      <c r="E82" s="9"/>
      <c r="F82" s="29"/>
      <c r="G82" s="28"/>
      <c r="H82" s="20"/>
      <c r="I82" s="20"/>
      <c r="J82" s="15"/>
      <c r="M82">
        <v>24</v>
      </c>
      <c r="N82">
        <f t="shared" si="18"/>
        <v>206.44</v>
      </c>
      <c r="O82" s="2">
        <f>E293</f>
        <v>66.850538160469668</v>
      </c>
      <c r="P82" s="2">
        <f t="shared" si="19"/>
        <v>27397.761541176096</v>
      </c>
      <c r="Q82">
        <f t="shared" si="16"/>
        <v>159.02269903834136</v>
      </c>
      <c r="R82">
        <f>(O82-O81)/2</f>
        <v>0.38801538565355287</v>
      </c>
    </row>
    <row r="83" spans="1:18" ht="15" thickBot="1" x14ac:dyDescent="0.45">
      <c r="A83" t="s">
        <v>4</v>
      </c>
      <c r="B83" s="14">
        <v>6.2119999999999997</v>
      </c>
      <c r="C83" s="11">
        <v>108.3</v>
      </c>
      <c r="D83" s="11"/>
      <c r="E83" s="16"/>
      <c r="F83" s="32"/>
      <c r="G83" s="36">
        <f>C83/(C81+C82+C83)</f>
        <v>1.8509181955683927E-2</v>
      </c>
      <c r="H83" s="20"/>
      <c r="I83" s="20"/>
      <c r="J83" s="15"/>
      <c r="M83">
        <v>46</v>
      </c>
      <c r="N83">
        <f t="shared" si="18"/>
        <v>394.76000000000005</v>
      </c>
      <c r="O83" s="2">
        <f>E324</f>
        <v>76.696428571428569</v>
      </c>
      <c r="P83" s="2">
        <f t="shared" si="19"/>
        <v>31432.962529274006</v>
      </c>
      <c r="Q83">
        <f t="shared" si="16"/>
        <v>183.41822673172322</v>
      </c>
      <c r="R83">
        <f>(O83-O82)/2</f>
        <v>4.9229452054794507</v>
      </c>
    </row>
    <row r="84" spans="1:18" ht="15" thickBot="1" x14ac:dyDescent="0.45">
      <c r="A84" s="1" t="s">
        <v>74</v>
      </c>
      <c r="B84" s="1"/>
      <c r="C84" s="1"/>
      <c r="D84" s="1"/>
      <c r="E84" s="1"/>
      <c r="F84" s="1"/>
      <c r="G84" s="1"/>
      <c r="H84" s="1"/>
      <c r="I84" s="1"/>
      <c r="J84" s="21"/>
      <c r="M84">
        <v>48</v>
      </c>
      <c r="N84">
        <f t="shared" si="18"/>
        <v>411.88</v>
      </c>
      <c r="O84" s="2">
        <f>E355</f>
        <v>75.838471382038165</v>
      </c>
      <c r="P84" s="2">
        <f t="shared" si="19"/>
        <v>31081.340730343512</v>
      </c>
      <c r="Q84">
        <f t="shared" si="16"/>
        <v>-175.81089946524685</v>
      </c>
      <c r="R84">
        <f>(O84-O83)/2</f>
        <v>-0.42897859469520228</v>
      </c>
    </row>
    <row r="85" spans="1:18" x14ac:dyDescent="0.4">
      <c r="A85" s="22" t="s">
        <v>0</v>
      </c>
      <c r="B85" s="23" t="s">
        <v>2</v>
      </c>
      <c r="C85" s="24" t="s">
        <v>1</v>
      </c>
      <c r="D85" s="24" t="s">
        <v>11</v>
      </c>
      <c r="E85" s="8" t="s">
        <v>7</v>
      </c>
      <c r="F85" s="25" t="s">
        <v>47</v>
      </c>
      <c r="G85" s="22" t="s">
        <v>12</v>
      </c>
      <c r="H85" s="15" t="s">
        <v>8</v>
      </c>
      <c r="I85" s="15" t="s">
        <v>7</v>
      </c>
      <c r="J85" s="20"/>
      <c r="O85" s="2"/>
      <c r="P85" s="2"/>
    </row>
    <row r="86" spans="1:18" x14ac:dyDescent="0.4">
      <c r="A86" s="22" t="s">
        <v>3</v>
      </c>
      <c r="B86" s="26">
        <v>3.1</v>
      </c>
      <c r="C86" s="27">
        <v>1658.6</v>
      </c>
      <c r="D86" s="28">
        <f>C86/C88</f>
        <v>51.831249999999997</v>
      </c>
      <c r="E86" s="29">
        <f>(D87+0.0045)/0.0056</f>
        <v>12.857142857142859</v>
      </c>
      <c r="F86" s="29">
        <f>(E86*120.15)/1000</f>
        <v>1.5447857142857147</v>
      </c>
      <c r="G86" s="35">
        <f>(C87/(C86+C87))</f>
        <v>1.3006093595703172E-3</v>
      </c>
      <c r="H86" s="19">
        <f>((G86*1000)/1.1)</f>
        <v>1.1823721450639246</v>
      </c>
      <c r="I86" s="19">
        <f>(H86/120.15)*1000</f>
        <v>9.8408002086052804</v>
      </c>
      <c r="J86" s="20"/>
    </row>
    <row r="87" spans="1:18" x14ac:dyDescent="0.4">
      <c r="A87" s="22" t="s">
        <v>5</v>
      </c>
      <c r="B87" s="26">
        <v>4.83</v>
      </c>
      <c r="C87" s="27">
        <v>2.16</v>
      </c>
      <c r="D87" s="18">
        <f>C87/C88</f>
        <v>6.7500000000000004E-2</v>
      </c>
      <c r="E87" s="29"/>
      <c r="F87" s="29"/>
      <c r="G87" s="28"/>
      <c r="H87" s="20"/>
      <c r="I87" s="20"/>
      <c r="J87" s="20"/>
    </row>
    <row r="88" spans="1:18" ht="15" thickBot="1" x14ac:dyDescent="0.45">
      <c r="A88" s="22" t="s">
        <v>4</v>
      </c>
      <c r="B88" s="30">
        <v>6.2119999999999997</v>
      </c>
      <c r="C88" s="31">
        <v>32</v>
      </c>
      <c r="D88" s="31"/>
      <c r="E88" s="32"/>
      <c r="F88" s="32"/>
      <c r="G88" s="36">
        <f>C88/(C86+C87+C88)</f>
        <v>1.8904038375197902E-2</v>
      </c>
      <c r="H88" s="20"/>
      <c r="I88" s="20"/>
      <c r="J88" s="20"/>
    </row>
    <row r="89" spans="1:18" ht="15" thickBot="1" x14ac:dyDescent="0.45">
      <c r="A89" s="1" t="s">
        <v>75</v>
      </c>
      <c r="B89" s="33"/>
      <c r="C89" s="33"/>
      <c r="D89" s="33"/>
      <c r="E89" s="33"/>
      <c r="F89" s="33"/>
      <c r="G89" s="1"/>
      <c r="H89" s="1"/>
      <c r="I89" s="1"/>
      <c r="J89" s="34"/>
      <c r="M89" s="37" t="s">
        <v>109</v>
      </c>
      <c r="N89" s="37"/>
      <c r="O89" s="37"/>
      <c r="P89" s="37"/>
      <c r="Q89" s="37"/>
      <c r="R89" s="37"/>
    </row>
    <row r="90" spans="1:18" x14ac:dyDescent="0.4">
      <c r="A90" s="22" t="s">
        <v>0</v>
      </c>
      <c r="B90" s="23" t="s">
        <v>2</v>
      </c>
      <c r="C90" s="24" t="s">
        <v>1</v>
      </c>
      <c r="D90" s="24" t="s">
        <v>11</v>
      </c>
      <c r="E90" s="8" t="s">
        <v>7</v>
      </c>
      <c r="F90" s="25" t="s">
        <v>47</v>
      </c>
      <c r="G90" s="22" t="s">
        <v>12</v>
      </c>
      <c r="H90" s="15" t="s">
        <v>8</v>
      </c>
      <c r="I90" s="15" t="s">
        <v>7</v>
      </c>
      <c r="J90" s="34"/>
      <c r="M90" s="37" t="s">
        <v>14</v>
      </c>
      <c r="N90" s="37" t="s">
        <v>16</v>
      </c>
      <c r="O90" s="37" t="s">
        <v>49</v>
      </c>
      <c r="P90" s="38" t="s">
        <v>9</v>
      </c>
      <c r="Q90" s="38" t="s">
        <v>15</v>
      </c>
      <c r="R90" s="37" t="s">
        <v>53</v>
      </c>
    </row>
    <row r="91" spans="1:18" x14ac:dyDescent="0.4">
      <c r="A91" s="22" t="s">
        <v>3</v>
      </c>
      <c r="B91" s="26">
        <v>3.14</v>
      </c>
      <c r="C91" s="20">
        <v>6264.8</v>
      </c>
      <c r="D91" s="28">
        <f>C91/C93</f>
        <v>53.136556403731973</v>
      </c>
      <c r="E91" s="29">
        <f>(D92+0.0045)/0.0056</f>
        <v>31.852886829031867</v>
      </c>
      <c r="F91" s="29">
        <f>(E91*120.15)/1000</f>
        <v>3.8271243525081791</v>
      </c>
      <c r="G91" s="35">
        <f>(C92/(C91+C92))</f>
        <v>3.2615786040443573E-3</v>
      </c>
      <c r="H91" s="19">
        <f>((G91*1000)/1.1)</f>
        <v>2.9650714582221429</v>
      </c>
      <c r="I91" s="19">
        <f>(H91/120.15)*1000</f>
        <v>24.67808121699661</v>
      </c>
      <c r="J91" s="34"/>
      <c r="M91">
        <v>0</v>
      </c>
      <c r="N91">
        <v>1</v>
      </c>
      <c r="O91">
        <v>0</v>
      </c>
      <c r="P91" s="2">
        <f>O91/(0.43/1000)</f>
        <v>0</v>
      </c>
      <c r="Q91">
        <v>0</v>
      </c>
      <c r="R91">
        <v>0</v>
      </c>
    </row>
    <row r="92" spans="1:18" x14ac:dyDescent="0.4">
      <c r="A92" s="22" t="s">
        <v>5</v>
      </c>
      <c r="B92" s="26">
        <v>4.83</v>
      </c>
      <c r="C92" s="20">
        <v>20.5</v>
      </c>
      <c r="D92" s="18">
        <f>C92/C93</f>
        <v>0.17387616624257846</v>
      </c>
      <c r="E92" s="29"/>
      <c r="F92" s="29"/>
      <c r="G92" s="28"/>
      <c r="H92" s="20"/>
      <c r="I92" s="20"/>
      <c r="J92" s="34"/>
      <c r="M92">
        <v>1</v>
      </c>
      <c r="N92">
        <f>M92*8.56+1</f>
        <v>9.56</v>
      </c>
      <c r="O92" s="2">
        <f>E60</f>
        <v>27.873831056970598</v>
      </c>
      <c r="P92" s="2">
        <f>O92/(0.43/1000)</f>
        <v>64822.862923187437</v>
      </c>
      <c r="Q92">
        <f t="shared" ref="Q92:Q97" si="20">(O92-O91)/((0.43/1000)*(M92-M91))</f>
        <v>64822.862923187437</v>
      </c>
      <c r="R92">
        <f t="shared" ref="R92:R97" si="21">(O92-O91)/1</f>
        <v>27.873831056970598</v>
      </c>
    </row>
    <row r="93" spans="1:18" ht="15" thickBot="1" x14ac:dyDescent="0.45">
      <c r="A93" s="22" t="s">
        <v>4</v>
      </c>
      <c r="B93" s="30">
        <v>6.2119999999999997</v>
      </c>
      <c r="C93" s="31">
        <v>117.9</v>
      </c>
      <c r="D93" s="31"/>
      <c r="E93" s="32"/>
      <c r="F93" s="32"/>
      <c r="G93" s="36">
        <f>C93/(C91+C92+C93)</f>
        <v>1.8412668665667167E-2</v>
      </c>
      <c r="H93" s="20"/>
      <c r="I93" s="20"/>
      <c r="J93" s="34"/>
      <c r="M93">
        <v>2</v>
      </c>
      <c r="N93">
        <f t="shared" ref="N93:N101" si="22">M93*8.56+1</f>
        <v>18.12</v>
      </c>
      <c r="O93" s="2">
        <f>E91</f>
        <v>31.852886829031867</v>
      </c>
      <c r="P93" s="2">
        <f>O93/(0.43/1000)</f>
        <v>74076.480997748527</v>
      </c>
      <c r="Q93">
        <f t="shared" si="20"/>
        <v>9253.6180745610909</v>
      </c>
      <c r="R93">
        <f t="shared" si="21"/>
        <v>3.9790557720612689</v>
      </c>
    </row>
    <row r="94" spans="1:18" x14ac:dyDescent="0.4">
      <c r="A94" s="3" t="s">
        <v>13</v>
      </c>
      <c r="B94" s="3"/>
      <c r="C94" s="3"/>
      <c r="D94" s="3"/>
      <c r="E94" s="3"/>
      <c r="F94" s="3"/>
      <c r="G94" s="3"/>
      <c r="H94" s="3"/>
      <c r="I94" s="3"/>
      <c r="J94" s="3"/>
      <c r="M94">
        <v>3</v>
      </c>
      <c r="N94">
        <f t="shared" si="22"/>
        <v>26.68</v>
      </c>
      <c r="O94" s="2">
        <f>E122</f>
        <v>33.257121323981792</v>
      </c>
      <c r="P94" s="2">
        <f>O94/(0.43/1000)</f>
        <v>77342.142613911143</v>
      </c>
      <c r="Q94">
        <f t="shared" si="20"/>
        <v>3265.6616161626171</v>
      </c>
      <c r="R94">
        <f t="shared" si="21"/>
        <v>1.4042344949499252</v>
      </c>
    </row>
    <row r="95" spans="1:18" ht="15" thickBot="1" x14ac:dyDescent="0.45">
      <c r="A95" s="1" t="s">
        <v>76</v>
      </c>
      <c r="B95" s="1"/>
      <c r="C95" s="1"/>
      <c r="D95" s="1"/>
      <c r="E95" s="1"/>
      <c r="F95" s="1"/>
      <c r="G95" s="1"/>
      <c r="H95" s="1"/>
      <c r="I95" s="1"/>
      <c r="J95" s="21"/>
      <c r="M95">
        <v>4</v>
      </c>
      <c r="N95">
        <f t="shared" si="22"/>
        <v>35.24</v>
      </c>
      <c r="O95" s="2">
        <f>E153</f>
        <v>33.506175468483818</v>
      </c>
      <c r="P95" s="2">
        <f>O95/(0.43/1000)</f>
        <v>77921.338298799572</v>
      </c>
      <c r="Q95">
        <f t="shared" si="20"/>
        <v>579.19568488843151</v>
      </c>
      <c r="R95">
        <f t="shared" si="21"/>
        <v>0.24905414450202557</v>
      </c>
    </row>
    <row r="96" spans="1:18" x14ac:dyDescent="0.4">
      <c r="A96" s="22" t="s">
        <v>0</v>
      </c>
      <c r="B96" s="23" t="s">
        <v>2</v>
      </c>
      <c r="C96" s="24" t="s">
        <v>1</v>
      </c>
      <c r="D96" s="24" t="s">
        <v>11</v>
      </c>
      <c r="E96" s="7" t="s">
        <v>7</v>
      </c>
      <c r="F96" s="41" t="s">
        <v>47</v>
      </c>
      <c r="G96" s="22" t="s">
        <v>12</v>
      </c>
      <c r="H96" s="15" t="s">
        <v>8</v>
      </c>
      <c r="I96" s="15" t="s">
        <v>7</v>
      </c>
      <c r="J96" s="20"/>
      <c r="M96">
        <v>18</v>
      </c>
      <c r="N96">
        <f t="shared" si="22"/>
        <v>155.08000000000001</v>
      </c>
      <c r="O96" s="2">
        <f>E184</f>
        <v>37.252718988830097</v>
      </c>
      <c r="P96" s="2">
        <f t="shared" ref="P96:P101" si="23">O96/(0.43/1000)</f>
        <v>86634.230206581618</v>
      </c>
      <c r="Q96">
        <f t="shared" si="20"/>
        <v>622.34942198443173</v>
      </c>
      <c r="R96">
        <f t="shared" si="21"/>
        <v>3.7465435203462789</v>
      </c>
    </row>
    <row r="97" spans="1:18" x14ac:dyDescent="0.4">
      <c r="A97" s="22" t="s">
        <v>3</v>
      </c>
      <c r="B97" s="26">
        <v>3.1</v>
      </c>
      <c r="C97" s="27">
        <v>6804.8</v>
      </c>
      <c r="D97" s="28">
        <f>C97/C99</f>
        <v>53.245696400625981</v>
      </c>
      <c r="E97" s="29">
        <f>(D98+0.0045)/0.0056</f>
        <v>51.105382293762581</v>
      </c>
      <c r="F97" s="42">
        <f>(E97*120.15)/1000</f>
        <v>6.1403116825955744</v>
      </c>
      <c r="G97" s="35">
        <f>(C98/(C97+C98))</f>
        <v>5.2625423927026077E-3</v>
      </c>
      <c r="H97" s="19">
        <f>((G97*1000)/1.1)</f>
        <v>4.7841294479114618</v>
      </c>
      <c r="I97" s="19">
        <f>(H97/120.15)*1000</f>
        <v>39.81797293309581</v>
      </c>
      <c r="J97" s="20"/>
      <c r="M97">
        <v>20</v>
      </c>
      <c r="N97">
        <f t="shared" si="22"/>
        <v>172.20000000000002</v>
      </c>
      <c r="O97" s="2">
        <f>AVERAGE(E215,E246)</f>
        <v>35.677866683489526</v>
      </c>
      <c r="P97" s="2">
        <f t="shared" si="23"/>
        <v>82971.782984859368</v>
      </c>
      <c r="Q97">
        <f t="shared" si="20"/>
        <v>-1831.2236108611285</v>
      </c>
      <c r="R97">
        <f t="shared" si="21"/>
        <v>-1.5748523053405705</v>
      </c>
    </row>
    <row r="98" spans="1:18" x14ac:dyDescent="0.4">
      <c r="A98" s="22" t="s">
        <v>5</v>
      </c>
      <c r="B98" s="26">
        <v>4.83</v>
      </c>
      <c r="C98" s="27">
        <v>36</v>
      </c>
      <c r="D98" s="18">
        <f>C98/C99</f>
        <v>0.28169014084507044</v>
      </c>
      <c r="E98" s="27"/>
      <c r="F98" s="42"/>
      <c r="G98" s="28"/>
      <c r="H98" s="20"/>
      <c r="I98" s="20"/>
      <c r="J98" s="20"/>
      <c r="M98">
        <v>22</v>
      </c>
      <c r="N98">
        <f t="shared" si="22"/>
        <v>189.32000000000002</v>
      </c>
      <c r="O98" s="2">
        <f>E277</f>
        <v>36.915946314831665</v>
      </c>
      <c r="P98" s="2">
        <f t="shared" si="23"/>
        <v>85851.037941468996</v>
      </c>
      <c r="Q98">
        <f>(O98-O97)/((0.43/1000)*(M98-M97))</f>
        <v>1439.6274783048123</v>
      </c>
      <c r="R98">
        <f>(O98-O97)/12</f>
        <v>0.10317330261184487</v>
      </c>
    </row>
    <row r="99" spans="1:18" ht="15" thickBot="1" x14ac:dyDescent="0.45">
      <c r="A99" s="22" t="s">
        <v>4</v>
      </c>
      <c r="B99" s="30">
        <v>6.2119999999999997</v>
      </c>
      <c r="C99" s="31">
        <v>127.8</v>
      </c>
      <c r="D99" s="31"/>
      <c r="E99" s="40"/>
      <c r="F99" s="43"/>
      <c r="G99" s="36">
        <f>C99/(C97+C98+C99)</f>
        <v>1.8339408202508393E-2</v>
      </c>
      <c r="H99" s="20"/>
      <c r="I99" s="20"/>
      <c r="J99" s="20"/>
      <c r="M99">
        <v>24</v>
      </c>
      <c r="N99">
        <f t="shared" si="22"/>
        <v>206.44</v>
      </c>
      <c r="O99" s="2">
        <f>E308</f>
        <v>25.377621231979028</v>
      </c>
      <c r="P99" s="2">
        <f t="shared" si="23"/>
        <v>59017.723795300066</v>
      </c>
      <c r="Q99">
        <f>(O99-O98)/((0.43/1000)*(M99-M98))</f>
        <v>-13416.657073084461</v>
      </c>
      <c r="R99">
        <f>(O99-O98)/2</f>
        <v>-5.7691625414263186</v>
      </c>
    </row>
    <row r="100" spans="1:18" ht="15" thickBot="1" x14ac:dyDescent="0.45">
      <c r="A100" s="1" t="s">
        <v>77</v>
      </c>
      <c r="B100" s="33"/>
      <c r="C100" s="33"/>
      <c r="D100" s="33"/>
      <c r="E100" s="33"/>
      <c r="F100" s="33"/>
      <c r="G100" s="1"/>
      <c r="H100" s="1"/>
      <c r="I100" s="1"/>
      <c r="J100" s="34"/>
      <c r="M100">
        <v>46</v>
      </c>
      <c r="N100">
        <f t="shared" si="22"/>
        <v>394.76000000000005</v>
      </c>
      <c r="O100" s="2">
        <f>E339</f>
        <v>38.925561797752813</v>
      </c>
      <c r="P100" s="2">
        <f t="shared" si="23"/>
        <v>90524.562320355384</v>
      </c>
      <c r="Q100">
        <f>(O100-O99)/((0.43/1000)*(M100-M99))</f>
        <v>1432.1290238661506</v>
      </c>
      <c r="R100">
        <f>(O100-O99)/2</f>
        <v>6.7739702828868928</v>
      </c>
    </row>
    <row r="101" spans="1:18" x14ac:dyDescent="0.4">
      <c r="A101" s="22" t="s">
        <v>0</v>
      </c>
      <c r="B101" s="23" t="s">
        <v>2</v>
      </c>
      <c r="C101" s="24" t="s">
        <v>1</v>
      </c>
      <c r="D101" s="24" t="s">
        <v>11</v>
      </c>
      <c r="E101" s="8" t="s">
        <v>7</v>
      </c>
      <c r="F101" s="25" t="s">
        <v>47</v>
      </c>
      <c r="G101" s="22" t="s">
        <v>12</v>
      </c>
      <c r="H101" s="15" t="s">
        <v>8</v>
      </c>
      <c r="I101" s="15" t="s">
        <v>7</v>
      </c>
      <c r="J101" s="34"/>
      <c r="M101">
        <v>48</v>
      </c>
      <c r="N101">
        <f t="shared" si="22"/>
        <v>411.88</v>
      </c>
      <c r="O101" s="2">
        <f>E370</f>
        <v>40.262096774193544</v>
      </c>
      <c r="P101" s="2">
        <f t="shared" si="23"/>
        <v>93632.78319579894</v>
      </c>
      <c r="Q101">
        <f>(O101-O100)/((0.43/1000)*(M101-M100))</f>
        <v>1554.1104377217805</v>
      </c>
      <c r="R101">
        <f>(O101-O100)/2</f>
        <v>0.66826748822036564</v>
      </c>
    </row>
    <row r="102" spans="1:18" x14ac:dyDescent="0.4">
      <c r="A102" s="22" t="s">
        <v>3</v>
      </c>
      <c r="B102" s="26">
        <v>3.14</v>
      </c>
      <c r="C102" s="20">
        <v>1733.2</v>
      </c>
      <c r="D102" s="28">
        <f>C102/C104</f>
        <v>50.826979472140764</v>
      </c>
      <c r="E102" s="29">
        <f>(D103+0.0045)/0.0056</f>
        <v>16.513667783829074</v>
      </c>
      <c r="F102" s="29">
        <f>(E102*120.15)/1000</f>
        <v>1.9841171842270635</v>
      </c>
      <c r="G102" s="35">
        <f>(C103/(C102+C103))</f>
        <v>1.7279115309296164E-3</v>
      </c>
      <c r="H102" s="19">
        <f>((G102*1000)/1.1)</f>
        <v>1.5708286644814693</v>
      </c>
      <c r="I102" s="19">
        <f>(H102/120.15)*1000</f>
        <v>13.073896500053843</v>
      </c>
      <c r="J102" s="34"/>
    </row>
    <row r="103" spans="1:18" x14ac:dyDescent="0.4">
      <c r="A103" s="22" t="s">
        <v>5</v>
      </c>
      <c r="B103" s="26">
        <v>4.83</v>
      </c>
      <c r="C103" s="20">
        <v>3</v>
      </c>
      <c r="D103" s="18">
        <f>C103/C104</f>
        <v>8.7976539589442806E-2</v>
      </c>
      <c r="E103" s="29"/>
      <c r="F103" s="29"/>
      <c r="G103" s="28"/>
      <c r="H103" s="20"/>
      <c r="I103" s="20"/>
      <c r="J103" s="34"/>
    </row>
    <row r="104" spans="1:18" ht="15" thickBot="1" x14ac:dyDescent="0.45">
      <c r="A104" s="22" t="s">
        <v>4</v>
      </c>
      <c r="B104" s="30">
        <v>6.2119999999999997</v>
      </c>
      <c r="C104" s="31">
        <v>34.1</v>
      </c>
      <c r="D104" s="31"/>
      <c r="E104" s="32"/>
      <c r="F104" s="32"/>
      <c r="G104" s="36">
        <f>C104/(C102+C103+C104)</f>
        <v>1.9262271931311078E-2</v>
      </c>
      <c r="H104" s="20"/>
      <c r="I104" s="20"/>
      <c r="J104" s="34"/>
    </row>
    <row r="105" spans="1:18" ht="15" thickBot="1" x14ac:dyDescent="0.45">
      <c r="A105" s="1" t="s">
        <v>78</v>
      </c>
      <c r="B105" s="33"/>
      <c r="C105" s="33"/>
      <c r="D105" s="33"/>
      <c r="E105" s="33"/>
      <c r="F105" s="33"/>
      <c r="G105" s="1"/>
      <c r="H105" s="1"/>
      <c r="I105" s="1"/>
      <c r="J105" s="34"/>
    </row>
    <row r="106" spans="1:18" x14ac:dyDescent="0.4">
      <c r="A106" t="s">
        <v>0</v>
      </c>
      <c r="B106" s="23" t="s">
        <v>2</v>
      </c>
      <c r="C106" s="24" t="s">
        <v>1</v>
      </c>
      <c r="D106" s="24" t="s">
        <v>11</v>
      </c>
      <c r="E106" s="8" t="s">
        <v>7</v>
      </c>
      <c r="F106" s="25" t="s">
        <v>47</v>
      </c>
      <c r="G106" s="22" t="s">
        <v>12</v>
      </c>
      <c r="H106" s="15" t="s">
        <v>8</v>
      </c>
      <c r="I106" s="15" t="s">
        <v>7</v>
      </c>
      <c r="J106" s="15"/>
    </row>
    <row r="107" spans="1:18" x14ac:dyDescent="0.4">
      <c r="A107" t="s">
        <v>3</v>
      </c>
      <c r="B107" s="13">
        <v>3.1</v>
      </c>
      <c r="C107" s="20">
        <v>6248.2</v>
      </c>
      <c r="D107" s="5">
        <f>C107/C109</f>
        <v>52.242474916387962</v>
      </c>
      <c r="E107" s="29">
        <f>(D108+0.0045)/0.0056</f>
        <v>59.929228380315337</v>
      </c>
      <c r="F107" s="29">
        <f>(E107*120.15)/1000</f>
        <v>7.2004967898948884</v>
      </c>
      <c r="G107" s="35">
        <f>(C108/(C107+C108))</f>
        <v>6.2979102388752827E-3</v>
      </c>
      <c r="H107" s="19">
        <f>((G107*1000)/1.1)</f>
        <v>5.7253729444320749</v>
      </c>
      <c r="I107" s="19">
        <f>(H107/120.15)*1000</f>
        <v>47.651876358152933</v>
      </c>
      <c r="J107" s="15"/>
    </row>
    <row r="108" spans="1:18" x14ac:dyDescent="0.4">
      <c r="A108" t="s">
        <v>5</v>
      </c>
      <c r="B108" s="13">
        <v>4.83</v>
      </c>
      <c r="C108" s="20">
        <v>39.6</v>
      </c>
      <c r="D108" s="19">
        <f>C108/C109</f>
        <v>0.33110367892976589</v>
      </c>
      <c r="E108" s="9"/>
      <c r="F108" s="29"/>
      <c r="G108" s="28"/>
      <c r="H108" s="20"/>
      <c r="I108" s="20"/>
      <c r="J108" s="15"/>
    </row>
    <row r="109" spans="1:18" ht="15" thickBot="1" x14ac:dyDescent="0.45">
      <c r="A109" t="s">
        <v>4</v>
      </c>
      <c r="B109" s="14">
        <v>6.2119999999999997</v>
      </c>
      <c r="C109" s="11">
        <v>119.6</v>
      </c>
      <c r="D109" s="11"/>
      <c r="E109" s="16"/>
      <c r="F109" s="32"/>
      <c r="G109" s="36">
        <f>C109/(C107+C108+C109)</f>
        <v>1.8665917532852638E-2</v>
      </c>
      <c r="H109" s="20"/>
      <c r="I109" s="20"/>
      <c r="J109" s="15"/>
    </row>
    <row r="110" spans="1:18" ht="15" thickBot="1" x14ac:dyDescent="0.45">
      <c r="A110" s="1" t="s">
        <v>79</v>
      </c>
      <c r="B110" s="33"/>
      <c r="C110" s="33"/>
      <c r="D110" s="33"/>
      <c r="E110" s="33"/>
      <c r="F110" s="33"/>
      <c r="G110" s="1"/>
      <c r="H110" s="1"/>
      <c r="I110" s="1"/>
      <c r="J110" s="34"/>
    </row>
    <row r="111" spans="1:18" x14ac:dyDescent="0.4">
      <c r="A111" t="s">
        <v>0</v>
      </c>
      <c r="B111" s="23" t="s">
        <v>2</v>
      </c>
      <c r="C111" s="24" t="s">
        <v>1</v>
      </c>
      <c r="D111" s="24" t="s">
        <v>11</v>
      </c>
      <c r="E111" s="8" t="s">
        <v>7</v>
      </c>
      <c r="F111" s="25" t="s">
        <v>47</v>
      </c>
      <c r="G111" s="22" t="s">
        <v>12</v>
      </c>
      <c r="H111" s="15" t="s">
        <v>8</v>
      </c>
      <c r="I111" s="15" t="s">
        <v>7</v>
      </c>
      <c r="J111" s="15"/>
    </row>
    <row r="112" spans="1:18" x14ac:dyDescent="0.4">
      <c r="A112" t="s">
        <v>3</v>
      </c>
      <c r="B112" s="13">
        <v>3.1</v>
      </c>
      <c r="C112" s="20">
        <v>6774.4</v>
      </c>
      <c r="D112" s="5">
        <f>C112/C114</f>
        <v>53.341732283464566</v>
      </c>
      <c r="E112" s="29">
        <f>(D113+0.0045)/0.0056</f>
        <v>10.575787401574804</v>
      </c>
      <c r="F112" s="29">
        <f>(E112*120.15)/1000</f>
        <v>1.2706808562992129</v>
      </c>
      <c r="G112" s="35">
        <f>(C113/(C112+C113))</f>
        <v>1.0248696793411342E-3</v>
      </c>
      <c r="H112" s="19">
        <f>((G112*1000)/1.1)</f>
        <v>0.93169970849194017</v>
      </c>
      <c r="I112" s="19">
        <f>(H112/120.15)*1000</f>
        <v>7.7544711484972124</v>
      </c>
      <c r="J112" s="15"/>
    </row>
    <row r="113" spans="1:10" x14ac:dyDescent="0.4">
      <c r="A113" t="s">
        <v>5</v>
      </c>
      <c r="B113" s="13">
        <v>4.83</v>
      </c>
      <c r="C113" s="20">
        <v>6.95</v>
      </c>
      <c r="D113" s="19">
        <f>C113/C114</f>
        <v>5.47244094488189E-2</v>
      </c>
      <c r="E113" s="9"/>
      <c r="F113" s="29"/>
      <c r="G113" s="28"/>
      <c r="H113" s="20"/>
      <c r="I113" s="20"/>
      <c r="J113" s="15"/>
    </row>
    <row r="114" spans="1:10" ht="15" thickBot="1" x14ac:dyDescent="0.45">
      <c r="A114" t="s">
        <v>4</v>
      </c>
      <c r="B114" s="14">
        <v>6.2119999999999997</v>
      </c>
      <c r="C114" s="11">
        <v>127</v>
      </c>
      <c r="D114" s="11"/>
      <c r="E114" s="16"/>
      <c r="F114" s="32"/>
      <c r="G114" s="36">
        <f>C114/(C112+C113+C114)</f>
        <v>1.8383550341253701E-2</v>
      </c>
      <c r="H114" s="20"/>
      <c r="I114" s="20"/>
      <c r="J114" s="15"/>
    </row>
    <row r="115" spans="1:10" ht="15" thickBot="1" x14ac:dyDescent="0.45">
      <c r="A115" s="1" t="s">
        <v>80</v>
      </c>
      <c r="B115" s="1"/>
      <c r="C115" s="1"/>
      <c r="D115" s="1"/>
      <c r="E115" s="1"/>
      <c r="F115" s="1"/>
      <c r="G115" s="1"/>
      <c r="H115" s="1"/>
      <c r="I115" s="1"/>
      <c r="J115" s="21"/>
    </row>
    <row r="116" spans="1:10" x14ac:dyDescent="0.4">
      <c r="A116" s="22" t="s">
        <v>0</v>
      </c>
      <c r="B116" s="23" t="s">
        <v>2</v>
      </c>
      <c r="C116" s="24" t="s">
        <v>1</v>
      </c>
      <c r="D116" s="24" t="s">
        <v>11</v>
      </c>
      <c r="E116" s="8" t="s">
        <v>7</v>
      </c>
      <c r="F116" s="25" t="s">
        <v>47</v>
      </c>
      <c r="G116" s="22" t="s">
        <v>12</v>
      </c>
      <c r="H116" s="15" t="s">
        <v>8</v>
      </c>
      <c r="I116" s="15" t="s">
        <v>7</v>
      </c>
      <c r="J116" s="20"/>
    </row>
    <row r="117" spans="1:10" x14ac:dyDescent="0.4">
      <c r="A117" s="22" t="s">
        <v>3</v>
      </c>
      <c r="B117" s="26">
        <v>3.1</v>
      </c>
      <c r="C117" s="27">
        <v>1615.4</v>
      </c>
      <c r="D117" s="28">
        <f>C117/C119</f>
        <v>51.942122186495176</v>
      </c>
      <c r="E117" s="29">
        <f>(D118+0.0045)/0.0056</f>
        <v>13.378215434083602</v>
      </c>
      <c r="F117" s="29">
        <f>(E117*120.15)/1000</f>
        <v>1.6073925844051449</v>
      </c>
      <c r="G117" s="35">
        <f>(C118/(C117+C118))</f>
        <v>1.3538659363621188E-3</v>
      </c>
      <c r="H117" s="19">
        <f>((G117*1000)/1.1)</f>
        <v>1.2307872148746535</v>
      </c>
      <c r="I117" s="19">
        <f>(H117/120.15)*1000</f>
        <v>10.24375542966836</v>
      </c>
      <c r="J117" s="20"/>
    </row>
    <row r="118" spans="1:10" x14ac:dyDescent="0.4">
      <c r="A118" s="22" t="s">
        <v>5</v>
      </c>
      <c r="B118" s="26">
        <v>4.83</v>
      </c>
      <c r="C118" s="27">
        <v>2.19</v>
      </c>
      <c r="D118" s="18">
        <f>C118/C119</f>
        <v>7.0418006430868166E-2</v>
      </c>
      <c r="E118" s="29"/>
      <c r="F118" s="29"/>
      <c r="G118" s="28"/>
      <c r="H118" s="20"/>
      <c r="I118" s="20"/>
      <c r="J118" s="20"/>
    </row>
    <row r="119" spans="1:10" ht="15" thickBot="1" x14ac:dyDescent="0.45">
      <c r="A119" s="22" t="s">
        <v>4</v>
      </c>
      <c r="B119" s="30">
        <v>6.2119999999999997</v>
      </c>
      <c r="C119" s="31">
        <v>31.1</v>
      </c>
      <c r="D119" s="31"/>
      <c r="E119" s="32"/>
      <c r="F119" s="32"/>
      <c r="G119" s="36">
        <f>C119/(C117+C118+C119)</f>
        <v>1.8863461293511817E-2</v>
      </c>
      <c r="H119" s="20"/>
      <c r="I119" s="20"/>
      <c r="J119" s="20"/>
    </row>
    <row r="120" spans="1:10" ht="15" thickBot="1" x14ac:dyDescent="0.45">
      <c r="A120" s="1" t="s">
        <v>81</v>
      </c>
      <c r="B120" s="33"/>
      <c r="C120" s="33"/>
      <c r="D120" s="33"/>
      <c r="E120" s="33"/>
      <c r="F120" s="33"/>
      <c r="G120" s="1"/>
      <c r="H120" s="1"/>
      <c r="I120" s="1"/>
      <c r="J120" s="34"/>
    </row>
    <row r="121" spans="1:10" x14ac:dyDescent="0.4">
      <c r="A121" s="22" t="s">
        <v>0</v>
      </c>
      <c r="B121" s="23" t="s">
        <v>2</v>
      </c>
      <c r="C121" s="24" t="s">
        <v>1</v>
      </c>
      <c r="D121" s="24" t="s">
        <v>11</v>
      </c>
      <c r="E121" s="8" t="s">
        <v>7</v>
      </c>
      <c r="F121" s="25" t="s">
        <v>47</v>
      </c>
      <c r="G121" s="22" t="s">
        <v>12</v>
      </c>
      <c r="H121" s="15" t="s">
        <v>8</v>
      </c>
      <c r="I121" s="15" t="s">
        <v>7</v>
      </c>
      <c r="J121" s="34"/>
    </row>
    <row r="122" spans="1:10" x14ac:dyDescent="0.4">
      <c r="A122" s="22" t="s">
        <v>3</v>
      </c>
      <c r="B122" s="26">
        <v>3.14</v>
      </c>
      <c r="C122" s="20">
        <v>6172</v>
      </c>
      <c r="D122" s="28">
        <f>C122/C124</f>
        <v>53.161068044788976</v>
      </c>
      <c r="E122" s="29">
        <f>(D123+0.0045)/0.0056</f>
        <v>33.257121323981792</v>
      </c>
      <c r="F122" s="29">
        <f>(E122*120.15)/1000</f>
        <v>3.9958431270764128</v>
      </c>
      <c r="G122" s="35">
        <f>(C123/(C122+C123))</f>
        <v>3.4070174872035007E-3</v>
      </c>
      <c r="H122" s="19">
        <f>((G122*1000)/1.1)</f>
        <v>3.0972886247304552</v>
      </c>
      <c r="I122" s="19">
        <f>(H122/120.15)*1000</f>
        <v>25.778515395176488</v>
      </c>
      <c r="J122" s="34"/>
    </row>
    <row r="123" spans="1:10" x14ac:dyDescent="0.4">
      <c r="A123" s="22" t="s">
        <v>5</v>
      </c>
      <c r="B123" s="26">
        <v>4.83</v>
      </c>
      <c r="C123" s="20">
        <v>21.1</v>
      </c>
      <c r="D123" s="18">
        <f>C123/C124</f>
        <v>0.18173987941429803</v>
      </c>
      <c r="E123" s="29"/>
      <c r="F123" s="29"/>
      <c r="G123" s="28"/>
      <c r="H123" s="20"/>
      <c r="I123" s="20"/>
      <c r="J123" s="34"/>
    </row>
    <row r="124" spans="1:10" ht="15" thickBot="1" x14ac:dyDescent="0.45">
      <c r="A124" s="22" t="s">
        <v>4</v>
      </c>
      <c r="B124" s="30">
        <v>6.2119999999999997</v>
      </c>
      <c r="C124" s="31">
        <v>116.1</v>
      </c>
      <c r="D124" s="31"/>
      <c r="E124" s="32"/>
      <c r="F124" s="32"/>
      <c r="G124" s="36">
        <f>C124/(C122+C123+C124)</f>
        <v>1.8401699106067326E-2</v>
      </c>
      <c r="H124" s="20"/>
      <c r="I124" s="20"/>
      <c r="J124" s="34"/>
    </row>
    <row r="125" spans="1:10" x14ac:dyDescent="0.4">
      <c r="A125" s="3" t="s">
        <v>13</v>
      </c>
      <c r="B125" s="3"/>
      <c r="C125" s="3"/>
      <c r="D125" s="3"/>
      <c r="E125" s="3"/>
      <c r="F125" s="3"/>
      <c r="G125" s="3"/>
      <c r="H125" s="3"/>
      <c r="I125" s="3"/>
      <c r="J125" s="3"/>
    </row>
    <row r="126" spans="1:10" ht="15" thickBot="1" x14ac:dyDescent="0.45">
      <c r="A126" s="1" t="s">
        <v>82</v>
      </c>
      <c r="B126" s="1"/>
      <c r="C126" s="1"/>
      <c r="D126" s="1"/>
      <c r="E126" s="1"/>
      <c r="F126" s="1"/>
      <c r="G126" s="1"/>
      <c r="H126" s="1"/>
      <c r="I126" s="1"/>
      <c r="J126" s="21"/>
    </row>
    <row r="127" spans="1:10" x14ac:dyDescent="0.4">
      <c r="A127" s="22" t="s">
        <v>0</v>
      </c>
      <c r="B127" s="23" t="s">
        <v>2</v>
      </c>
      <c r="C127" s="24" t="s">
        <v>1</v>
      </c>
      <c r="D127" s="24" t="s">
        <v>11</v>
      </c>
      <c r="E127" s="7" t="s">
        <v>7</v>
      </c>
      <c r="F127" s="41" t="s">
        <v>47</v>
      </c>
      <c r="G127" s="22" t="s">
        <v>12</v>
      </c>
      <c r="H127" s="15" t="s">
        <v>8</v>
      </c>
      <c r="I127" s="15" t="s">
        <v>7</v>
      </c>
      <c r="J127" s="20"/>
    </row>
    <row r="128" spans="1:10" x14ac:dyDescent="0.4">
      <c r="A128" s="22" t="s">
        <v>3</v>
      </c>
      <c r="B128" s="26">
        <v>3.1</v>
      </c>
      <c r="C128" s="27">
        <v>6698.5</v>
      </c>
      <c r="D128" s="28">
        <f>C128/C130</f>
        <v>50.554716981132074</v>
      </c>
      <c r="E128" s="29">
        <f>(D129+0.0045)/0.0056</f>
        <v>55.924865229110516</v>
      </c>
      <c r="F128" s="42">
        <f>(E128*120.15)/1000</f>
        <v>6.7193725572776284</v>
      </c>
      <c r="G128" s="35">
        <f>(C129/(C128+C129))</f>
        <v>6.0687895064842571E-3</v>
      </c>
      <c r="H128" s="19">
        <f>((G128*1000)/1.1)</f>
        <v>5.5170813695311418</v>
      </c>
      <c r="I128" s="19">
        <f>(H128/120.15)*1000</f>
        <v>45.918280229139754</v>
      </c>
      <c r="J128" s="20"/>
    </row>
    <row r="129" spans="1:10" x14ac:dyDescent="0.4">
      <c r="A129" s="22" t="s">
        <v>5</v>
      </c>
      <c r="B129" s="26">
        <v>4.83</v>
      </c>
      <c r="C129" s="27">
        <v>40.9</v>
      </c>
      <c r="D129" s="18">
        <f>C129/C130</f>
        <v>0.30867924528301888</v>
      </c>
      <c r="E129" s="27"/>
      <c r="F129" s="42"/>
      <c r="G129" s="28"/>
      <c r="H129" s="20"/>
      <c r="I129" s="20"/>
      <c r="J129" s="20"/>
    </row>
    <row r="130" spans="1:10" ht="15" thickBot="1" x14ac:dyDescent="0.45">
      <c r="A130" s="22" t="s">
        <v>4</v>
      </c>
      <c r="B130" s="30">
        <v>6.2119999999999997</v>
      </c>
      <c r="C130" s="31">
        <v>132.5</v>
      </c>
      <c r="D130" s="31"/>
      <c r="E130" s="40"/>
      <c r="F130" s="43"/>
      <c r="G130" s="36">
        <f>C130/(C128+C129+C130)</f>
        <v>1.9281421440940642E-2</v>
      </c>
      <c r="H130" s="20"/>
      <c r="I130" s="20"/>
      <c r="J130" s="20"/>
    </row>
    <row r="131" spans="1:10" ht="15" thickBot="1" x14ac:dyDescent="0.45">
      <c r="A131" s="1" t="s">
        <v>83</v>
      </c>
      <c r="B131" s="33"/>
      <c r="C131" s="33"/>
      <c r="D131" s="33"/>
      <c r="E131" s="33"/>
      <c r="F131" s="33"/>
      <c r="G131" s="1"/>
      <c r="H131" s="1"/>
      <c r="I131" s="1"/>
      <c r="J131" s="34"/>
    </row>
    <row r="132" spans="1:10" x14ac:dyDescent="0.4">
      <c r="A132" s="22" t="s">
        <v>0</v>
      </c>
      <c r="B132" s="23" t="s">
        <v>2</v>
      </c>
      <c r="C132" s="24" t="s">
        <v>1</v>
      </c>
      <c r="D132" s="24" t="s">
        <v>11</v>
      </c>
      <c r="E132" s="8" t="s">
        <v>7</v>
      </c>
      <c r="F132" s="25" t="s">
        <v>47</v>
      </c>
      <c r="G132" s="22" t="s">
        <v>12</v>
      </c>
      <c r="H132" s="15" t="s">
        <v>8</v>
      </c>
      <c r="I132" s="15" t="s">
        <v>7</v>
      </c>
      <c r="J132" s="34"/>
    </row>
    <row r="133" spans="1:10" x14ac:dyDescent="0.4">
      <c r="A133" s="22" t="s">
        <v>3</v>
      </c>
      <c r="B133" s="26">
        <v>3.14</v>
      </c>
      <c r="C133" s="20">
        <v>1770.1</v>
      </c>
      <c r="D133" s="28">
        <f>C133/C135</f>
        <v>50.002824858757059</v>
      </c>
      <c r="E133" s="29">
        <f>(D134+0.0045)/0.0056</f>
        <v>17.349172719935432</v>
      </c>
      <c r="F133" s="29">
        <f>(E133*120.15)/1000</f>
        <v>2.0845031023002423</v>
      </c>
      <c r="G133" s="35">
        <f>(C134/(C133+C134))</f>
        <v>1.8495753871138729E-3</v>
      </c>
      <c r="H133" s="19">
        <f>((G133*1000)/1.1)</f>
        <v>1.6814321701035206</v>
      </c>
      <c r="I133" s="19">
        <f>(H133/120.15)*1000</f>
        <v>13.994441698739246</v>
      </c>
      <c r="J133" s="34"/>
    </row>
    <row r="134" spans="1:10" x14ac:dyDescent="0.4">
      <c r="A134" s="22" t="s">
        <v>5</v>
      </c>
      <c r="B134" s="26">
        <v>4.83</v>
      </c>
      <c r="C134" s="20">
        <v>3.28</v>
      </c>
      <c r="D134" s="18">
        <f>C134/C135</f>
        <v>9.2655367231638419E-2</v>
      </c>
      <c r="E134" s="29"/>
      <c r="F134" s="29"/>
      <c r="G134" s="28"/>
      <c r="H134" s="20"/>
      <c r="I134" s="20"/>
      <c r="J134" s="34"/>
    </row>
    <row r="135" spans="1:10" ht="15" thickBot="1" x14ac:dyDescent="0.45">
      <c r="A135" s="22" t="s">
        <v>4</v>
      </c>
      <c r="B135" s="30">
        <v>6.2119999999999997</v>
      </c>
      <c r="C135" s="31">
        <v>35.4</v>
      </c>
      <c r="D135" s="31"/>
      <c r="E135" s="32"/>
      <c r="F135" s="32"/>
      <c r="G135" s="36">
        <f>C135/(C133+C134+C135)</f>
        <v>1.9571202689105362E-2</v>
      </c>
      <c r="H135" s="20"/>
      <c r="I135" s="20"/>
      <c r="J135" s="34"/>
    </row>
    <row r="136" spans="1:10" ht="15" thickBot="1" x14ac:dyDescent="0.45">
      <c r="A136" s="1" t="s">
        <v>84</v>
      </c>
      <c r="B136" s="33"/>
      <c r="C136" s="33"/>
      <c r="D136" s="33"/>
      <c r="E136" s="33"/>
      <c r="F136" s="33"/>
      <c r="G136" s="1"/>
      <c r="H136" s="1"/>
      <c r="I136" s="1"/>
      <c r="J136" s="34"/>
    </row>
    <row r="137" spans="1:10" x14ac:dyDescent="0.4">
      <c r="A137" t="s">
        <v>0</v>
      </c>
      <c r="B137" s="23" t="s">
        <v>2</v>
      </c>
      <c r="C137" s="24" t="s">
        <v>1</v>
      </c>
      <c r="D137" s="24" t="s">
        <v>11</v>
      </c>
      <c r="E137" s="8" t="s">
        <v>7</v>
      </c>
      <c r="F137" s="25" t="s">
        <v>47</v>
      </c>
      <c r="G137" s="22" t="s">
        <v>12</v>
      </c>
      <c r="H137" s="15" t="s">
        <v>8</v>
      </c>
      <c r="I137" s="15" t="s">
        <v>7</v>
      </c>
      <c r="J137" s="15"/>
    </row>
    <row r="138" spans="1:10" x14ac:dyDescent="0.4">
      <c r="A138" t="s">
        <v>3</v>
      </c>
      <c r="B138" s="13">
        <v>3.1</v>
      </c>
      <c r="C138" s="20">
        <v>6307.2</v>
      </c>
      <c r="D138" s="5">
        <f>C138/C140</f>
        <v>51.740771123872022</v>
      </c>
      <c r="E138" s="29">
        <f>(D139+0.0045)/0.0056</f>
        <v>61.889941989921482</v>
      </c>
      <c r="F138" s="29">
        <f>(E138*120.15)/1000</f>
        <v>7.4360765300890659</v>
      </c>
      <c r="G138" s="35">
        <f>(C139/(C138+C139))</f>
        <v>6.5680669092283714E-3</v>
      </c>
      <c r="H138" s="19">
        <f>((G138*1000)/1.1)</f>
        <v>5.9709699174803372</v>
      </c>
      <c r="I138" s="19">
        <f>(H138/120.15)*1000</f>
        <v>49.695962692304093</v>
      </c>
      <c r="J138" s="15"/>
    </row>
    <row r="139" spans="1:10" x14ac:dyDescent="0.4">
      <c r="A139" t="s">
        <v>5</v>
      </c>
      <c r="B139" s="13">
        <v>4.83</v>
      </c>
      <c r="C139" s="20">
        <v>41.7</v>
      </c>
      <c r="D139" s="19">
        <f>C139/C140</f>
        <v>0.34208367514356031</v>
      </c>
      <c r="E139" s="9"/>
      <c r="F139" s="29"/>
      <c r="G139" s="28"/>
      <c r="H139" s="20"/>
      <c r="I139" s="20"/>
      <c r="J139" s="15"/>
    </row>
    <row r="140" spans="1:10" ht="15" thickBot="1" x14ac:dyDescent="0.45">
      <c r="A140" t="s">
        <v>4</v>
      </c>
      <c r="B140" s="14">
        <v>6.2119999999999997</v>
      </c>
      <c r="C140" s="11">
        <v>121.9</v>
      </c>
      <c r="D140" s="11"/>
      <c r="E140" s="16"/>
      <c r="F140" s="32"/>
      <c r="G140" s="36">
        <f>C140/(C138+C139+C140)</f>
        <v>1.8838474377202204E-2</v>
      </c>
      <c r="H140" s="20"/>
      <c r="I140" s="20"/>
      <c r="J140" s="15"/>
    </row>
    <row r="141" spans="1:10" ht="15" thickBot="1" x14ac:dyDescent="0.45">
      <c r="A141" s="1" t="s">
        <v>85</v>
      </c>
      <c r="B141" s="33"/>
      <c r="C141" s="33"/>
      <c r="D141" s="33"/>
      <c r="E141" s="33"/>
      <c r="F141" s="33"/>
      <c r="G141" s="1"/>
      <c r="H141" s="1"/>
      <c r="I141" s="1"/>
      <c r="J141" s="34"/>
    </row>
    <row r="142" spans="1:10" x14ac:dyDescent="0.4">
      <c r="A142" t="s">
        <v>0</v>
      </c>
      <c r="B142" s="23" t="s">
        <v>2</v>
      </c>
      <c r="C142" s="24" t="s">
        <v>1</v>
      </c>
      <c r="D142" s="24" t="s">
        <v>11</v>
      </c>
      <c r="E142" s="8" t="s">
        <v>7</v>
      </c>
      <c r="F142" s="25" t="s">
        <v>47</v>
      </c>
      <c r="G142" s="22" t="s">
        <v>12</v>
      </c>
      <c r="H142" s="15" t="s">
        <v>8</v>
      </c>
      <c r="I142" s="15" t="s">
        <v>7</v>
      </c>
      <c r="J142" s="15"/>
    </row>
    <row r="143" spans="1:10" x14ac:dyDescent="0.4">
      <c r="A143" t="s">
        <v>3</v>
      </c>
      <c r="B143" s="13">
        <v>3.1</v>
      </c>
      <c r="C143" s="20">
        <v>6500.1</v>
      </c>
      <c r="D143" s="5">
        <f>C143/C145</f>
        <v>52.889340927583405</v>
      </c>
      <c r="E143" s="29">
        <f>(D144+0.0045)/0.0056</f>
        <v>15.769281064744858</v>
      </c>
      <c r="F143" s="29">
        <f>(E143*120.15)/1000</f>
        <v>1.8946791199290947</v>
      </c>
      <c r="G143" s="35">
        <f>(C144/(C143+C144))</f>
        <v>1.5820840501351682E-3</v>
      </c>
      <c r="H143" s="19">
        <f>((G143*1000)/1.1)</f>
        <v>1.4382582273956075</v>
      </c>
      <c r="I143" s="19">
        <f>(H143/120.15)*1000</f>
        <v>11.970522075702101</v>
      </c>
      <c r="J143" s="15"/>
    </row>
    <row r="144" spans="1:10" x14ac:dyDescent="0.4">
      <c r="A144" t="s">
        <v>5</v>
      </c>
      <c r="B144" s="13">
        <v>4.83</v>
      </c>
      <c r="C144" s="20">
        <v>10.3</v>
      </c>
      <c r="D144" s="19">
        <f>C144/C145</f>
        <v>8.3807973962571197E-2</v>
      </c>
      <c r="E144" s="9"/>
      <c r="F144" s="29"/>
      <c r="G144" s="28"/>
      <c r="H144" s="20"/>
      <c r="I144" s="20"/>
      <c r="J144" s="15"/>
    </row>
    <row r="145" spans="1:10" ht="15" thickBot="1" x14ac:dyDescent="0.45">
      <c r="A145" t="s">
        <v>4</v>
      </c>
      <c r="B145" s="14">
        <v>6.2119999999999997</v>
      </c>
      <c r="C145" s="11">
        <v>122.9</v>
      </c>
      <c r="D145" s="11"/>
      <c r="E145" s="16"/>
      <c r="F145" s="32"/>
      <c r="G145" s="36">
        <f>C145/(C143+C144+C145)</f>
        <v>1.8527731295132136E-2</v>
      </c>
      <c r="H145" s="20"/>
      <c r="I145" s="20"/>
      <c r="J145" s="15"/>
    </row>
    <row r="146" spans="1:10" ht="15" thickBot="1" x14ac:dyDescent="0.45">
      <c r="A146" s="1" t="s">
        <v>86</v>
      </c>
      <c r="B146" s="1"/>
      <c r="C146" s="1"/>
      <c r="D146" s="1"/>
      <c r="E146" s="1"/>
      <c r="F146" s="1"/>
      <c r="G146" s="1"/>
      <c r="H146" s="1"/>
      <c r="I146" s="1"/>
      <c r="J146" s="21"/>
    </row>
    <row r="147" spans="1:10" x14ac:dyDescent="0.4">
      <c r="A147" s="22" t="s">
        <v>0</v>
      </c>
      <c r="B147" s="23" t="s">
        <v>2</v>
      </c>
      <c r="C147" s="24" t="s">
        <v>1</v>
      </c>
      <c r="D147" s="24" t="s">
        <v>11</v>
      </c>
      <c r="E147" s="8" t="s">
        <v>7</v>
      </c>
      <c r="F147" s="25" t="s">
        <v>47</v>
      </c>
      <c r="G147" s="22" t="s">
        <v>12</v>
      </c>
      <c r="H147" s="15" t="s">
        <v>8</v>
      </c>
      <c r="I147" s="15" t="s">
        <v>7</v>
      </c>
      <c r="J147" s="20"/>
    </row>
    <row r="148" spans="1:10" x14ac:dyDescent="0.4">
      <c r="A148" s="22" t="s">
        <v>3</v>
      </c>
      <c r="B148" s="26">
        <v>3.1</v>
      </c>
      <c r="C148" s="27">
        <v>1678.9</v>
      </c>
      <c r="D148" s="28">
        <f>C148/C150</f>
        <v>50.722054380664652</v>
      </c>
      <c r="E148" s="29">
        <f>(D149+0.0045)/0.0056</f>
        <v>13.967145015105739</v>
      </c>
      <c r="F148" s="29">
        <f>(E148*120.15)/1000</f>
        <v>1.6781524735649547</v>
      </c>
      <c r="G148" s="35">
        <f>(C149/(C148+C149))</f>
        <v>1.4512234289316853E-3</v>
      </c>
      <c r="H148" s="19">
        <f>((G148*1000)/1.1)</f>
        <v>1.3192940263015318</v>
      </c>
      <c r="I148" s="19">
        <f>(H148/120.15)*1000</f>
        <v>10.980391396600346</v>
      </c>
      <c r="J148" s="20"/>
    </row>
    <row r="149" spans="1:10" x14ac:dyDescent="0.4">
      <c r="A149" s="22" t="s">
        <v>5</v>
      </c>
      <c r="B149" s="26">
        <v>4.83</v>
      </c>
      <c r="C149" s="27">
        <v>2.44</v>
      </c>
      <c r="D149" s="18">
        <f>C149/C150</f>
        <v>7.3716012084592136E-2</v>
      </c>
      <c r="E149" s="29"/>
      <c r="F149" s="29"/>
      <c r="G149" s="28"/>
      <c r="H149" s="20"/>
      <c r="I149" s="20"/>
      <c r="J149" s="20"/>
    </row>
    <row r="150" spans="1:10" ht="15" thickBot="1" x14ac:dyDescent="0.45">
      <c r="A150" s="22" t="s">
        <v>4</v>
      </c>
      <c r="B150" s="30">
        <v>6.2119999999999997</v>
      </c>
      <c r="C150" s="31">
        <v>33.1</v>
      </c>
      <c r="D150" s="31"/>
      <c r="E150" s="32"/>
      <c r="F150" s="32"/>
      <c r="G150" s="36">
        <f>C150/(C148+C149+C150)</f>
        <v>1.9306595739716759E-2</v>
      </c>
      <c r="H150" s="20"/>
      <c r="I150" s="20"/>
      <c r="J150" s="20"/>
    </row>
    <row r="151" spans="1:10" ht="15" thickBot="1" x14ac:dyDescent="0.45">
      <c r="A151" s="1" t="s">
        <v>87</v>
      </c>
      <c r="B151" s="33"/>
      <c r="C151" s="33"/>
      <c r="D151" s="33"/>
      <c r="E151" s="33"/>
      <c r="F151" s="33"/>
      <c r="G151" s="1"/>
      <c r="H151" s="1"/>
      <c r="I151" s="1"/>
      <c r="J151" s="34"/>
    </row>
    <row r="152" spans="1:10" x14ac:dyDescent="0.4">
      <c r="A152" s="22" t="s">
        <v>0</v>
      </c>
      <c r="B152" s="23" t="s">
        <v>2</v>
      </c>
      <c r="C152" s="24" t="s">
        <v>1</v>
      </c>
      <c r="D152" s="24" t="s">
        <v>11</v>
      </c>
      <c r="E152" s="8" t="s">
        <v>7</v>
      </c>
      <c r="F152" s="25" t="s">
        <v>47</v>
      </c>
      <c r="G152" s="22" t="s">
        <v>12</v>
      </c>
      <c r="H152" s="15" t="s">
        <v>8</v>
      </c>
      <c r="I152" s="15" t="s">
        <v>7</v>
      </c>
      <c r="J152" s="34"/>
    </row>
    <row r="153" spans="1:10" x14ac:dyDescent="0.4">
      <c r="A153" s="22" t="s">
        <v>3</v>
      </c>
      <c r="B153" s="26">
        <v>3.14</v>
      </c>
      <c r="C153" s="20">
        <v>6211.4</v>
      </c>
      <c r="D153" s="28">
        <f>C153/C155</f>
        <v>52.908006814310042</v>
      </c>
      <c r="E153" s="29">
        <f>(D154+0.0045)/0.0056</f>
        <v>33.506175468483818</v>
      </c>
      <c r="F153" s="29">
        <f>(E153*120.15)/1000</f>
        <v>4.0257669825383307</v>
      </c>
      <c r="G153" s="35">
        <f>(C154/(C153+C154))</f>
        <v>3.4494376614417049E-3</v>
      </c>
      <c r="H153" s="19">
        <f>((G153*1000)/1.1)</f>
        <v>3.1358524194924589</v>
      </c>
      <c r="I153" s="19">
        <f>(H153/120.15)*1000</f>
        <v>26.099479146836945</v>
      </c>
      <c r="J153" s="34"/>
    </row>
    <row r="154" spans="1:10" x14ac:dyDescent="0.4">
      <c r="A154" s="22" t="s">
        <v>5</v>
      </c>
      <c r="B154" s="26">
        <v>4.83</v>
      </c>
      <c r="C154" s="20">
        <v>21.5</v>
      </c>
      <c r="D154" s="18">
        <f>C154/C155</f>
        <v>0.18313458262350937</v>
      </c>
      <c r="E154" s="29"/>
      <c r="F154" s="29"/>
      <c r="G154" s="28"/>
      <c r="H154" s="20"/>
      <c r="I154" s="20"/>
      <c r="J154" s="34"/>
    </row>
    <row r="155" spans="1:10" ht="15" thickBot="1" x14ac:dyDescent="0.45">
      <c r="A155" s="22" t="s">
        <v>4</v>
      </c>
      <c r="B155" s="30">
        <v>6.2119999999999997</v>
      </c>
      <c r="C155" s="31">
        <v>117.4</v>
      </c>
      <c r="D155" s="31"/>
      <c r="E155" s="32"/>
      <c r="F155" s="32"/>
      <c r="G155" s="36">
        <f>C155/(C153+C154+C155)</f>
        <v>1.8487315559894812E-2</v>
      </c>
      <c r="H155" s="20"/>
      <c r="I155" s="20"/>
      <c r="J155" s="34"/>
    </row>
    <row r="156" spans="1:10" x14ac:dyDescent="0.4">
      <c r="A156" s="3" t="s">
        <v>13</v>
      </c>
      <c r="B156" s="3"/>
      <c r="C156" s="3"/>
      <c r="D156" s="3"/>
      <c r="E156" s="3"/>
      <c r="F156" s="3"/>
      <c r="G156" s="3"/>
      <c r="H156" s="3"/>
      <c r="I156" s="3"/>
      <c r="J156" s="3"/>
    </row>
    <row r="157" spans="1:10" ht="15" thickBot="1" x14ac:dyDescent="0.45">
      <c r="A157" s="1" t="s">
        <v>88</v>
      </c>
      <c r="B157" s="1"/>
      <c r="C157" s="1"/>
      <c r="D157" s="1"/>
      <c r="E157" s="1"/>
      <c r="F157" s="1"/>
      <c r="G157" s="1"/>
      <c r="H157" s="1"/>
      <c r="I157" s="1"/>
      <c r="J157" s="21"/>
    </row>
    <row r="158" spans="1:10" x14ac:dyDescent="0.4">
      <c r="A158" s="22" t="s">
        <v>0</v>
      </c>
      <c r="B158" s="23" t="s">
        <v>2</v>
      </c>
      <c r="C158" s="24" t="s">
        <v>1</v>
      </c>
      <c r="D158" s="24" t="s">
        <v>11</v>
      </c>
      <c r="E158" s="7" t="s">
        <v>7</v>
      </c>
      <c r="F158" s="41" t="s">
        <v>47</v>
      </c>
      <c r="G158" s="22" t="s">
        <v>12</v>
      </c>
      <c r="H158" s="15" t="s">
        <v>8</v>
      </c>
      <c r="I158" s="15" t="s">
        <v>7</v>
      </c>
      <c r="J158" s="20"/>
    </row>
    <row r="159" spans="1:10" x14ac:dyDescent="0.4">
      <c r="A159" s="22" t="s">
        <v>3</v>
      </c>
      <c r="B159" s="26">
        <v>3.1</v>
      </c>
      <c r="C159" s="27">
        <v>6788.6</v>
      </c>
      <c r="D159" s="28">
        <f>C159/C161</f>
        <v>52.139784946236567</v>
      </c>
      <c r="E159" s="29">
        <f>(D160+0.0045)/0.0056</f>
        <v>87.209101382488498</v>
      </c>
      <c r="F159" s="42">
        <f>(E159*120.15)/1000</f>
        <v>10.478173531105993</v>
      </c>
      <c r="G159" s="35">
        <f>(C160/(C159+C160))</f>
        <v>9.1949325704944827E-3</v>
      </c>
      <c r="H159" s="19">
        <f>((G159*1000)/1.1)</f>
        <v>8.3590296095404391</v>
      </c>
      <c r="I159" s="19">
        <f>(H159/120.15)*1000</f>
        <v>69.571615560053587</v>
      </c>
      <c r="J159" s="20"/>
    </row>
    <row r="160" spans="1:10" x14ac:dyDescent="0.4">
      <c r="A160" s="22" t="s">
        <v>5</v>
      </c>
      <c r="B160" s="26">
        <v>4.83</v>
      </c>
      <c r="C160" s="27">
        <v>63</v>
      </c>
      <c r="D160" s="18">
        <f>C160/C161</f>
        <v>0.48387096774193555</v>
      </c>
      <c r="E160" s="27"/>
      <c r="F160" s="42"/>
      <c r="G160" s="28"/>
      <c r="H160" s="20"/>
      <c r="I160" s="20"/>
      <c r="J160" s="20"/>
    </row>
    <row r="161" spans="1:10" ht="15" thickBot="1" x14ac:dyDescent="0.45">
      <c r="A161" s="22" t="s">
        <v>4</v>
      </c>
      <c r="B161" s="30">
        <v>6.2119999999999997</v>
      </c>
      <c r="C161" s="31">
        <v>130.19999999999999</v>
      </c>
      <c r="D161" s="31"/>
      <c r="E161" s="40"/>
      <c r="F161" s="43"/>
      <c r="G161" s="36">
        <f>C161/(C159+C160+C161)</f>
        <v>1.864848606376579E-2</v>
      </c>
      <c r="H161" s="20"/>
      <c r="I161" s="20"/>
      <c r="J161" s="20"/>
    </row>
    <row r="162" spans="1:10" ht="15" thickBot="1" x14ac:dyDescent="0.45">
      <c r="A162" s="1" t="s">
        <v>89</v>
      </c>
      <c r="B162" s="33"/>
      <c r="C162" s="33"/>
      <c r="D162" s="33"/>
      <c r="E162" s="33"/>
      <c r="F162" s="33"/>
      <c r="G162" s="1"/>
      <c r="H162" s="1"/>
      <c r="I162" s="1"/>
      <c r="J162" s="34"/>
    </row>
    <row r="163" spans="1:10" x14ac:dyDescent="0.4">
      <c r="A163" s="22" t="s">
        <v>0</v>
      </c>
      <c r="B163" s="23" t="s">
        <v>2</v>
      </c>
      <c r="C163" s="24" t="s">
        <v>1</v>
      </c>
      <c r="D163" s="24" t="s">
        <v>11</v>
      </c>
      <c r="E163" s="8" t="s">
        <v>7</v>
      </c>
      <c r="F163" s="25" t="s">
        <v>47</v>
      </c>
      <c r="G163" s="22" t="s">
        <v>12</v>
      </c>
      <c r="H163" s="15" t="s">
        <v>8</v>
      </c>
      <c r="I163" s="15" t="s">
        <v>7</v>
      </c>
      <c r="J163" s="34"/>
    </row>
    <row r="164" spans="1:10" x14ac:dyDescent="0.4">
      <c r="A164" s="22" t="s">
        <v>3</v>
      </c>
      <c r="B164" s="26">
        <v>3.14</v>
      </c>
      <c r="C164" s="20">
        <v>1660</v>
      </c>
      <c r="D164" s="28">
        <f>C164/C166</f>
        <v>50.764525993883787</v>
      </c>
      <c r="E164" s="29">
        <f>(D165+0.0045)/0.0056</f>
        <v>24.121614242027082</v>
      </c>
      <c r="F164" s="29">
        <f>(E164*120.15)/1000</f>
        <v>2.8982119511795541</v>
      </c>
      <c r="G164" s="35">
        <f>(C165/(C164+C165))</f>
        <v>2.5656894614455583E-3</v>
      </c>
      <c r="H164" s="19">
        <f>((G164*1000)/1.1)</f>
        <v>2.3324449649505072</v>
      </c>
      <c r="I164" s="19">
        <f>(H164/120.15)*1000</f>
        <v>19.412775405330898</v>
      </c>
      <c r="J164" s="34"/>
    </row>
    <row r="165" spans="1:10" x14ac:dyDescent="0.4">
      <c r="A165" s="22" t="s">
        <v>5</v>
      </c>
      <c r="B165" s="26">
        <v>4.83</v>
      </c>
      <c r="C165" s="20">
        <v>4.2699999999999996</v>
      </c>
      <c r="D165" s="18">
        <f>C165/C166</f>
        <v>0.13058103975535165</v>
      </c>
      <c r="E165" s="29"/>
      <c r="F165" s="29"/>
      <c r="G165" s="28"/>
      <c r="H165" s="20"/>
      <c r="I165" s="20"/>
      <c r="J165" s="34"/>
    </row>
    <row r="166" spans="1:10" ht="15" thickBot="1" x14ac:dyDescent="0.45">
      <c r="A166" s="22" t="s">
        <v>4</v>
      </c>
      <c r="B166" s="30">
        <v>6.2119999999999997</v>
      </c>
      <c r="C166" s="31">
        <v>32.700000000000003</v>
      </c>
      <c r="D166" s="31"/>
      <c r="E166" s="32"/>
      <c r="F166" s="32"/>
      <c r="G166" s="36">
        <f>C166/(C164+C165+C166)</f>
        <v>1.9269639416135818E-2</v>
      </c>
      <c r="H166" s="20"/>
      <c r="I166" s="20"/>
      <c r="J166" s="34"/>
    </row>
    <row r="167" spans="1:10" ht="15" thickBot="1" x14ac:dyDescent="0.45">
      <c r="A167" s="1" t="s">
        <v>90</v>
      </c>
      <c r="B167" s="33"/>
      <c r="C167" s="33"/>
      <c r="D167" s="33"/>
      <c r="E167" s="33"/>
      <c r="F167" s="33"/>
      <c r="G167" s="1"/>
      <c r="H167" s="1"/>
      <c r="I167" s="1"/>
      <c r="J167" s="34"/>
    </row>
    <row r="168" spans="1:10" x14ac:dyDescent="0.4">
      <c r="A168" t="s">
        <v>0</v>
      </c>
      <c r="B168" s="23" t="s">
        <v>2</v>
      </c>
      <c r="C168" s="24" t="s">
        <v>1</v>
      </c>
      <c r="D168" s="24" t="s">
        <v>11</v>
      </c>
      <c r="E168" s="8" t="s">
        <v>7</v>
      </c>
      <c r="F168" s="25" t="s">
        <v>47</v>
      </c>
      <c r="G168" s="22" t="s">
        <v>12</v>
      </c>
      <c r="H168" s="15" t="s">
        <v>8</v>
      </c>
      <c r="I168" s="15" t="s">
        <v>7</v>
      </c>
      <c r="J168" s="15"/>
    </row>
    <row r="169" spans="1:10" x14ac:dyDescent="0.4">
      <c r="A169" t="s">
        <v>3</v>
      </c>
      <c r="B169" s="13">
        <v>3.1</v>
      </c>
      <c r="C169" s="20">
        <v>6079.7</v>
      </c>
      <c r="D169" s="5">
        <f>C169/C171</f>
        <v>50.918760469011723</v>
      </c>
      <c r="E169" s="29">
        <f>(D170+0.0045)/0.0056</f>
        <v>68.403475711892796</v>
      </c>
      <c r="F169" s="29">
        <f>(E169*120.15)/1000</f>
        <v>8.2186776067839205</v>
      </c>
      <c r="G169" s="35">
        <f>(C170/(C169+C170))</f>
        <v>7.379712321833827E-3</v>
      </c>
      <c r="H169" s="19">
        <f>((G169*1000)/1.1)</f>
        <v>6.7088293834852966</v>
      </c>
      <c r="I169" s="19">
        <f>(H169/120.15)*1000</f>
        <v>55.837115135125231</v>
      </c>
      <c r="J169" s="15"/>
    </row>
    <row r="170" spans="1:10" x14ac:dyDescent="0.4">
      <c r="A170" t="s">
        <v>5</v>
      </c>
      <c r="B170" s="13">
        <v>4.83</v>
      </c>
      <c r="C170" s="20">
        <v>45.2</v>
      </c>
      <c r="D170" s="19">
        <f>C170/C171</f>
        <v>0.37855946398659968</v>
      </c>
      <c r="E170" s="9"/>
      <c r="F170" s="29"/>
      <c r="G170" s="28"/>
      <c r="H170" s="20"/>
      <c r="I170" s="20"/>
      <c r="J170" s="15"/>
    </row>
    <row r="171" spans="1:10" ht="15" thickBot="1" x14ac:dyDescent="0.45">
      <c r="A171" t="s">
        <v>4</v>
      </c>
      <c r="B171" s="14">
        <v>6.2119999999999997</v>
      </c>
      <c r="C171" s="11">
        <v>119.4</v>
      </c>
      <c r="D171" s="11"/>
      <c r="E171" s="16"/>
      <c r="F171" s="32"/>
      <c r="G171" s="36">
        <f>C171/(C169+C170+C171)</f>
        <v>1.9121438752141957E-2</v>
      </c>
      <c r="H171" s="20"/>
      <c r="I171" s="20"/>
      <c r="J171" s="15"/>
    </row>
    <row r="172" spans="1:10" ht="15" thickBot="1" x14ac:dyDescent="0.45">
      <c r="A172" s="1" t="s">
        <v>91</v>
      </c>
      <c r="B172" s="33"/>
      <c r="C172" s="33"/>
      <c r="D172" s="33"/>
      <c r="E172" s="33"/>
      <c r="F172" s="33"/>
      <c r="G172" s="1"/>
      <c r="H172" s="1"/>
      <c r="I172" s="1"/>
      <c r="J172" s="34"/>
    </row>
    <row r="173" spans="1:10" x14ac:dyDescent="0.4">
      <c r="A173" t="s">
        <v>0</v>
      </c>
      <c r="B173" s="23" t="s">
        <v>2</v>
      </c>
      <c r="C173" s="24" t="s">
        <v>1</v>
      </c>
      <c r="D173" s="24" t="s">
        <v>11</v>
      </c>
      <c r="E173" s="8" t="s">
        <v>7</v>
      </c>
      <c r="F173" s="25" t="s">
        <v>47</v>
      </c>
      <c r="G173" s="22" t="s">
        <v>12</v>
      </c>
      <c r="H173" s="15" t="s">
        <v>8</v>
      </c>
      <c r="I173" s="15" t="s">
        <v>7</v>
      </c>
      <c r="J173" s="15"/>
    </row>
    <row r="174" spans="1:10" x14ac:dyDescent="0.4">
      <c r="A174" t="s">
        <v>3</v>
      </c>
      <c r="B174" s="13">
        <v>3.1</v>
      </c>
      <c r="C174" s="20">
        <v>6779.3</v>
      </c>
      <c r="D174" s="5">
        <f>C174/C176</f>
        <v>52.593483320403415</v>
      </c>
      <c r="E174" s="29">
        <f>(D175+0.0045)/0.0056</f>
        <v>54.970699878089334</v>
      </c>
      <c r="F174" s="29">
        <f>(E174*120.15)/1000</f>
        <v>6.6047295903524335</v>
      </c>
      <c r="G174" s="35">
        <f>(C175/(C174+C175))</f>
        <v>5.7344831632054442E-3</v>
      </c>
      <c r="H174" s="19">
        <f>((G174*1000)/1.1)</f>
        <v>5.2131665120049488</v>
      </c>
      <c r="I174" s="19">
        <f>(H174/120.15)*1000</f>
        <v>43.388818243903025</v>
      </c>
      <c r="J174" s="15"/>
    </row>
    <row r="175" spans="1:10" x14ac:dyDescent="0.4">
      <c r="A175" t="s">
        <v>5</v>
      </c>
      <c r="B175" s="13">
        <v>4.83</v>
      </c>
      <c r="C175" s="20">
        <v>39.1</v>
      </c>
      <c r="D175" s="19">
        <f>C175/C176</f>
        <v>0.30333591931730025</v>
      </c>
      <c r="E175" s="9"/>
      <c r="F175" s="29"/>
      <c r="G175" s="28"/>
      <c r="H175" s="20"/>
      <c r="I175" s="20"/>
      <c r="J175" s="15"/>
    </row>
    <row r="176" spans="1:10" ht="15" thickBot="1" x14ac:dyDescent="0.45">
      <c r="A176" t="s">
        <v>4</v>
      </c>
      <c r="B176" s="14">
        <v>6.2119999999999997</v>
      </c>
      <c r="C176" s="11">
        <v>128.9</v>
      </c>
      <c r="D176" s="11"/>
      <c r="E176" s="16"/>
      <c r="F176" s="32"/>
      <c r="G176" s="36">
        <f>C176/(C174+C175+C176)</f>
        <v>1.8553970607286283E-2</v>
      </c>
      <c r="H176" s="20"/>
      <c r="I176" s="20"/>
      <c r="J176" s="15"/>
    </row>
    <row r="177" spans="1:10" ht="15" thickBot="1" x14ac:dyDescent="0.45">
      <c r="A177" s="1" t="s">
        <v>92</v>
      </c>
      <c r="B177" s="1"/>
      <c r="C177" s="1"/>
      <c r="D177" s="1"/>
      <c r="E177" s="1"/>
      <c r="F177" s="1"/>
      <c r="G177" s="1"/>
      <c r="H177" s="1"/>
      <c r="I177" s="1"/>
      <c r="J177" s="21"/>
    </row>
    <row r="178" spans="1:10" x14ac:dyDescent="0.4">
      <c r="A178" s="22" t="s">
        <v>0</v>
      </c>
      <c r="B178" s="23" t="s">
        <v>2</v>
      </c>
      <c r="C178" s="24" t="s">
        <v>1</v>
      </c>
      <c r="D178" s="24" t="s">
        <v>11</v>
      </c>
      <c r="E178" s="8" t="s">
        <v>7</v>
      </c>
      <c r="F178" s="25" t="s">
        <v>47</v>
      </c>
      <c r="G178" s="22" t="s">
        <v>12</v>
      </c>
      <c r="H178" s="15" t="s">
        <v>8</v>
      </c>
      <c r="I178" s="15" t="s">
        <v>7</v>
      </c>
      <c r="J178" s="20"/>
    </row>
    <row r="179" spans="1:10" x14ac:dyDescent="0.4">
      <c r="A179" s="22" t="s">
        <v>3</v>
      </c>
      <c r="B179" s="26">
        <v>3.1</v>
      </c>
      <c r="C179" s="27">
        <v>1629.9</v>
      </c>
      <c r="D179" s="28">
        <f>C179/C181</f>
        <v>51.094043887147343</v>
      </c>
      <c r="E179" s="29">
        <f>(D180+0.0045)/0.0056</f>
        <v>20.228112404836544</v>
      </c>
      <c r="F179" s="29">
        <f>(E179*120.15)/1000</f>
        <v>2.4304077054411111</v>
      </c>
      <c r="G179" s="35">
        <f>(C180/(C179+C180))</f>
        <v>2.1244421043609225E-3</v>
      </c>
      <c r="H179" s="19">
        <f>((G179*1000)/1.1)</f>
        <v>1.9313110039644747</v>
      </c>
      <c r="I179" s="19">
        <f>(H179/120.15)*1000</f>
        <v>16.074165659296501</v>
      </c>
      <c r="J179" s="20"/>
    </row>
    <row r="180" spans="1:10" x14ac:dyDescent="0.4">
      <c r="A180" s="22" t="s">
        <v>5</v>
      </c>
      <c r="B180" s="26">
        <v>4.83</v>
      </c>
      <c r="C180" s="27">
        <v>3.47</v>
      </c>
      <c r="D180" s="18">
        <f>C180/C181</f>
        <v>0.10877742946708464</v>
      </c>
      <c r="E180" s="29"/>
      <c r="F180" s="29"/>
      <c r="G180" s="28"/>
      <c r="H180" s="20"/>
      <c r="I180" s="20"/>
      <c r="J180" s="20"/>
    </row>
    <row r="181" spans="1:10" ht="15" thickBot="1" x14ac:dyDescent="0.45">
      <c r="A181" s="22" t="s">
        <v>4</v>
      </c>
      <c r="B181" s="30">
        <v>6.2119999999999997</v>
      </c>
      <c r="C181" s="31">
        <v>31.9</v>
      </c>
      <c r="D181" s="31"/>
      <c r="E181" s="32"/>
      <c r="F181" s="32"/>
      <c r="G181" s="36">
        <f>C181/(C179+C180+C181)</f>
        <v>1.9156052772223119E-2</v>
      </c>
      <c r="H181" s="20"/>
      <c r="I181" s="20"/>
      <c r="J181" s="20"/>
    </row>
    <row r="182" spans="1:10" ht="15" thickBot="1" x14ac:dyDescent="0.45">
      <c r="A182" s="1" t="s">
        <v>93</v>
      </c>
      <c r="B182" s="33"/>
      <c r="C182" s="33"/>
      <c r="D182" s="33"/>
      <c r="E182" s="33"/>
      <c r="F182" s="33"/>
      <c r="G182" s="1"/>
      <c r="H182" s="1"/>
      <c r="I182" s="1"/>
      <c r="J182" s="34"/>
    </row>
    <row r="183" spans="1:10" x14ac:dyDescent="0.4">
      <c r="A183" s="22" t="s">
        <v>0</v>
      </c>
      <c r="B183" s="23" t="s">
        <v>2</v>
      </c>
      <c r="C183" s="24" t="s">
        <v>1</v>
      </c>
      <c r="D183" s="24" t="s">
        <v>11</v>
      </c>
      <c r="E183" s="8" t="s">
        <v>7</v>
      </c>
      <c r="F183" s="25" t="s">
        <v>47</v>
      </c>
      <c r="G183" s="22" t="s">
        <v>12</v>
      </c>
      <c r="H183" s="15" t="s">
        <v>8</v>
      </c>
      <c r="I183" s="15" t="s">
        <v>7</v>
      </c>
      <c r="J183" s="34"/>
    </row>
    <row r="184" spans="1:10" x14ac:dyDescent="0.4">
      <c r="A184" s="22" t="s">
        <v>3</v>
      </c>
      <c r="B184" s="26">
        <v>3.14</v>
      </c>
      <c r="C184" s="20">
        <v>6332.6</v>
      </c>
      <c r="D184" s="28">
        <f>C184/C186</f>
        <v>52.120164609053504</v>
      </c>
      <c r="E184" s="29">
        <f>(D185+0.0045)/0.0056</f>
        <v>37.252718988830097</v>
      </c>
      <c r="F184" s="29">
        <f>(E184*120.15)/1000</f>
        <v>4.4759141865079366</v>
      </c>
      <c r="G184" s="35">
        <f>(C185/(C184+C185))</f>
        <v>3.9009658036304145E-3</v>
      </c>
      <c r="H184" s="19">
        <f>((G184*1000)/1.1)</f>
        <v>3.546332548754922</v>
      </c>
      <c r="I184" s="19">
        <f>(H184/120.15)*1000</f>
        <v>29.515876394131684</v>
      </c>
      <c r="J184" s="34"/>
    </row>
    <row r="185" spans="1:10" x14ac:dyDescent="0.4">
      <c r="A185" s="22" t="s">
        <v>5</v>
      </c>
      <c r="B185" s="26">
        <v>4.83</v>
      </c>
      <c r="C185" s="20">
        <v>24.8</v>
      </c>
      <c r="D185" s="18">
        <f>C185/C186</f>
        <v>0.20411522633744855</v>
      </c>
      <c r="E185" s="29"/>
      <c r="F185" s="29"/>
      <c r="G185" s="28"/>
      <c r="H185" s="20"/>
      <c r="I185" s="20"/>
      <c r="J185" s="34"/>
    </row>
    <row r="186" spans="1:10" ht="18" customHeight="1" thickBot="1" x14ac:dyDescent="0.45">
      <c r="A186" s="22" t="s">
        <v>4</v>
      </c>
      <c r="B186" s="30">
        <v>6.2119999999999997</v>
      </c>
      <c r="C186" s="31">
        <v>121.5</v>
      </c>
      <c r="D186" s="31"/>
      <c r="E186" s="32"/>
      <c r="F186" s="32"/>
      <c r="G186" s="36">
        <f>C186/(C184+C185+C186)</f>
        <v>1.8753183410764172E-2</v>
      </c>
      <c r="H186" s="20"/>
      <c r="I186" s="20"/>
      <c r="J186" s="34"/>
    </row>
    <row r="187" spans="1:10" x14ac:dyDescent="0.4">
      <c r="A187" s="3" t="s">
        <v>13</v>
      </c>
      <c r="B187" s="3"/>
      <c r="C187" s="3"/>
      <c r="D187" s="3"/>
      <c r="E187" s="3"/>
      <c r="F187" s="3"/>
      <c r="G187" s="3"/>
      <c r="H187" s="3"/>
      <c r="I187" s="3"/>
      <c r="J187" s="3"/>
    </row>
    <row r="188" spans="1:10" ht="15" thickBot="1" x14ac:dyDescent="0.45">
      <c r="A188" s="1" t="s">
        <v>96</v>
      </c>
      <c r="B188" s="1"/>
      <c r="C188" s="1"/>
      <c r="D188" s="1"/>
      <c r="E188" s="1"/>
      <c r="F188" s="1"/>
      <c r="G188" s="1"/>
      <c r="H188" s="1"/>
      <c r="I188" s="1"/>
      <c r="J188" s="21"/>
    </row>
    <row r="189" spans="1:10" x14ac:dyDescent="0.4">
      <c r="A189" s="22" t="s">
        <v>0</v>
      </c>
      <c r="B189" s="23" t="s">
        <v>2</v>
      </c>
      <c r="C189" s="24" t="s">
        <v>1</v>
      </c>
      <c r="D189" s="24" t="s">
        <v>11</v>
      </c>
      <c r="E189" s="7" t="s">
        <v>7</v>
      </c>
      <c r="F189" s="41" t="s">
        <v>47</v>
      </c>
      <c r="G189" s="22" t="s">
        <v>12</v>
      </c>
      <c r="H189" s="15" t="s">
        <v>8</v>
      </c>
      <c r="I189" s="15" t="s">
        <v>7</v>
      </c>
      <c r="J189" s="20"/>
    </row>
    <row r="190" spans="1:10" x14ac:dyDescent="0.4">
      <c r="A190" s="22" t="s">
        <v>3</v>
      </c>
      <c r="B190" s="26">
        <v>3.1</v>
      </c>
      <c r="C190" s="27">
        <v>1496.5</v>
      </c>
      <c r="D190" s="28">
        <f>C190/C192</f>
        <v>50.901360544217688</v>
      </c>
      <c r="E190" s="29">
        <f>(D191+0.0045)/0.0056</f>
        <v>84.622813411078724</v>
      </c>
      <c r="F190" s="42">
        <f>(E190*120.15)/1000</f>
        <v>10.16743103134111</v>
      </c>
      <c r="G190" s="35">
        <f>(C191/(C190+C191))</f>
        <v>9.1372574985102307E-3</v>
      </c>
      <c r="H190" s="19">
        <f>((G190*1000)/1.1)</f>
        <v>8.3065977259183903</v>
      </c>
      <c r="I190" s="19">
        <f>(H190/120.15)*1000</f>
        <v>69.135228680136407</v>
      </c>
      <c r="J190" s="20"/>
    </row>
    <row r="191" spans="1:10" x14ac:dyDescent="0.4">
      <c r="A191" s="22" t="s">
        <v>5</v>
      </c>
      <c r="B191" s="26">
        <v>4.83</v>
      </c>
      <c r="C191" s="27">
        <v>13.8</v>
      </c>
      <c r="D191" s="18">
        <f>C191/C192</f>
        <v>0.46938775510204084</v>
      </c>
      <c r="E191" s="27"/>
      <c r="F191" s="42"/>
      <c r="G191" s="28"/>
      <c r="H191" s="20"/>
      <c r="I191" s="20"/>
      <c r="J191" s="20"/>
    </row>
    <row r="192" spans="1:10" ht="15" thickBot="1" x14ac:dyDescent="0.45">
      <c r="A192" s="22" t="s">
        <v>4</v>
      </c>
      <c r="B192" s="30">
        <v>6.2119999999999997</v>
      </c>
      <c r="C192" s="31">
        <v>29.4</v>
      </c>
      <c r="D192" s="31"/>
      <c r="E192" s="40"/>
      <c r="F192" s="43"/>
      <c r="G192" s="36">
        <f>C192/(C190+C191+C192)</f>
        <v>1.9094628823796842E-2</v>
      </c>
      <c r="H192" s="20"/>
      <c r="I192" s="20"/>
      <c r="J192" s="20"/>
    </row>
    <row r="193" spans="1:10" ht="15" thickBot="1" x14ac:dyDescent="0.45">
      <c r="A193" s="1" t="s">
        <v>97</v>
      </c>
      <c r="B193" s="33"/>
      <c r="C193" s="33"/>
      <c r="D193" s="33"/>
      <c r="E193" s="33"/>
      <c r="F193" s="33"/>
      <c r="G193" s="1"/>
      <c r="H193" s="1"/>
      <c r="I193" s="1"/>
      <c r="J193" s="34"/>
    </row>
    <row r="194" spans="1:10" x14ac:dyDescent="0.4">
      <c r="A194" s="22" t="s">
        <v>0</v>
      </c>
      <c r="B194" s="23" t="s">
        <v>2</v>
      </c>
      <c r="C194" s="24" t="s">
        <v>1</v>
      </c>
      <c r="D194" s="24" t="s">
        <v>11</v>
      </c>
      <c r="E194" s="8" t="s">
        <v>7</v>
      </c>
      <c r="F194" s="25" t="s">
        <v>47</v>
      </c>
      <c r="G194" s="22" t="s">
        <v>12</v>
      </c>
      <c r="H194" s="15" t="s">
        <v>8</v>
      </c>
      <c r="I194" s="15" t="s">
        <v>7</v>
      </c>
      <c r="J194" s="34"/>
    </row>
    <row r="195" spans="1:10" x14ac:dyDescent="0.4">
      <c r="A195" s="22" t="s">
        <v>3</v>
      </c>
      <c r="B195" s="26">
        <v>3.14</v>
      </c>
      <c r="C195" s="20">
        <v>428.4</v>
      </c>
      <c r="D195" s="28">
        <f>C195/C197</f>
        <v>48.681818181818173</v>
      </c>
      <c r="E195" s="29">
        <f>(D196+0.0045)/0.0056</f>
        <v>22.516233766233764</v>
      </c>
      <c r="F195" s="29">
        <f>(E195*120.15)/1000</f>
        <v>2.7053254870129866</v>
      </c>
      <c r="G195" s="35">
        <f>(C196/(C195+C196))</f>
        <v>2.4914429412997417E-3</v>
      </c>
      <c r="H195" s="19">
        <f>((G195*1000)/1.1)</f>
        <v>2.2649481284543107</v>
      </c>
      <c r="I195" s="19">
        <f>(H195/120.15)*1000</f>
        <v>18.851003982141577</v>
      </c>
      <c r="J195" s="34"/>
    </row>
    <row r="196" spans="1:10" x14ac:dyDescent="0.4">
      <c r="A196" s="22" t="s">
        <v>5</v>
      </c>
      <c r="B196" s="26">
        <v>4.83</v>
      </c>
      <c r="C196" s="20">
        <v>1.07</v>
      </c>
      <c r="D196" s="18">
        <f>C196/C197</f>
        <v>0.12159090909090908</v>
      </c>
      <c r="E196" s="29"/>
      <c r="F196" s="29"/>
      <c r="G196" s="28"/>
      <c r="H196" s="20"/>
      <c r="I196" s="20"/>
      <c r="J196" s="34"/>
    </row>
    <row r="197" spans="1:10" ht="15" thickBot="1" x14ac:dyDescent="0.45">
      <c r="A197" s="22" t="s">
        <v>4</v>
      </c>
      <c r="B197" s="30">
        <v>6.2119999999999997</v>
      </c>
      <c r="C197" s="31">
        <v>8.8000000000000007</v>
      </c>
      <c r="D197" s="31"/>
      <c r="E197" s="32"/>
      <c r="F197" s="32"/>
      <c r="G197" s="36">
        <f>C197/(C195+C196+C197)</f>
        <v>2.0078946767974084E-2</v>
      </c>
      <c r="H197" s="20"/>
      <c r="I197" s="20"/>
      <c r="J197" s="34"/>
    </row>
    <row r="198" spans="1:10" ht="15" thickBot="1" x14ac:dyDescent="0.45">
      <c r="A198" s="1" t="s">
        <v>98</v>
      </c>
      <c r="B198" s="33"/>
      <c r="C198" s="33"/>
      <c r="D198" s="33"/>
      <c r="E198" s="33"/>
      <c r="F198" s="33"/>
      <c r="G198" s="1"/>
      <c r="H198" s="1"/>
      <c r="I198" s="1"/>
      <c r="J198" s="34"/>
    </row>
    <row r="199" spans="1:10" x14ac:dyDescent="0.4">
      <c r="A199" t="s">
        <v>0</v>
      </c>
      <c r="B199" s="23" t="s">
        <v>2</v>
      </c>
      <c r="C199" s="24" t="s">
        <v>1</v>
      </c>
      <c r="D199" s="24" t="s">
        <v>11</v>
      </c>
      <c r="E199" s="8" t="s">
        <v>7</v>
      </c>
      <c r="F199" s="25" t="s">
        <v>47</v>
      </c>
      <c r="G199" s="22" t="s">
        <v>12</v>
      </c>
      <c r="H199" s="15" t="s">
        <v>8</v>
      </c>
      <c r="I199" s="15" t="s">
        <v>7</v>
      </c>
      <c r="J199" s="15"/>
    </row>
    <row r="200" spans="1:10" x14ac:dyDescent="0.4">
      <c r="A200" t="s">
        <v>3</v>
      </c>
      <c r="B200" s="13">
        <v>3.1</v>
      </c>
      <c r="C200" s="20">
        <v>1390.2</v>
      </c>
      <c r="D200" s="5">
        <f>C200/C202</f>
        <v>48.778947368421058</v>
      </c>
      <c r="E200" s="29">
        <f>(D201+0.0045)/0.0056</f>
        <v>66.593045112781951</v>
      </c>
      <c r="F200" s="29">
        <f>(E200*120.15)/1000</f>
        <v>8.0011543703007515</v>
      </c>
      <c r="G200" s="35">
        <f>(C201/(C200+C201))</f>
        <v>7.4962518740629685E-3</v>
      </c>
      <c r="H200" s="19">
        <f>((G200*1000)/1.1)</f>
        <v>6.8147744309663345</v>
      </c>
      <c r="I200" s="19">
        <f>(H200/120.15)*1000</f>
        <v>56.718888314326549</v>
      </c>
      <c r="J200" s="15"/>
    </row>
    <row r="201" spans="1:10" x14ac:dyDescent="0.4">
      <c r="A201" t="s">
        <v>5</v>
      </c>
      <c r="B201" s="13">
        <v>4.83</v>
      </c>
      <c r="C201" s="20">
        <v>10.5</v>
      </c>
      <c r="D201" s="19">
        <f>C201/C202</f>
        <v>0.36842105263157893</v>
      </c>
      <c r="E201" s="9"/>
      <c r="F201" s="29"/>
      <c r="G201" s="28"/>
      <c r="H201" s="20"/>
      <c r="I201" s="20"/>
      <c r="J201" s="15"/>
    </row>
    <row r="202" spans="1:10" ht="15" thickBot="1" x14ac:dyDescent="0.45">
      <c r="A202" t="s">
        <v>4</v>
      </c>
      <c r="B202" s="14">
        <v>6.2119999999999997</v>
      </c>
      <c r="C202" s="11">
        <v>28.5</v>
      </c>
      <c r="D202" s="11"/>
      <c r="E202" s="16"/>
      <c r="F202" s="32"/>
      <c r="G202" s="36">
        <f>C202/(C200+C201+C202)</f>
        <v>1.9941225860621328E-2</v>
      </c>
      <c r="H202" s="20"/>
      <c r="I202" s="20"/>
      <c r="J202" s="15"/>
    </row>
    <row r="203" spans="1:10" ht="15" thickBot="1" x14ac:dyDescent="0.45">
      <c r="A203" s="1" t="s">
        <v>99</v>
      </c>
      <c r="B203" s="33"/>
      <c r="C203" s="33"/>
      <c r="D203" s="33"/>
      <c r="E203" s="33"/>
      <c r="F203" s="33"/>
      <c r="G203" s="1"/>
      <c r="H203" s="1"/>
      <c r="I203" s="1"/>
      <c r="J203" s="34"/>
    </row>
    <row r="204" spans="1:10" x14ac:dyDescent="0.4">
      <c r="A204" t="s">
        <v>0</v>
      </c>
      <c r="B204" s="23" t="s">
        <v>2</v>
      </c>
      <c r="C204" s="24" t="s">
        <v>1</v>
      </c>
      <c r="D204" s="24" t="s">
        <v>11</v>
      </c>
      <c r="E204" s="8" t="s">
        <v>7</v>
      </c>
      <c r="F204" s="25" t="s">
        <v>47</v>
      </c>
      <c r="G204" s="22" t="s">
        <v>12</v>
      </c>
      <c r="H204" s="15" t="s">
        <v>8</v>
      </c>
      <c r="I204" s="15" t="s">
        <v>7</v>
      </c>
      <c r="J204" s="15"/>
    </row>
    <row r="205" spans="1:10" x14ac:dyDescent="0.4">
      <c r="A205" t="s">
        <v>3</v>
      </c>
      <c r="B205" s="13">
        <v>3.1</v>
      </c>
      <c r="C205" s="20">
        <v>1450.3</v>
      </c>
      <c r="D205" s="5">
        <f>C205/C207</f>
        <v>50.887719298245614</v>
      </c>
      <c r="E205" s="29">
        <f>(D206+0.0045)/0.0056</f>
        <v>54.500313283208023</v>
      </c>
      <c r="F205" s="29">
        <f>(E205*120.15)/1000</f>
        <v>6.5482126409774448</v>
      </c>
      <c r="G205" s="35">
        <f>(C206/(C205+C206))</f>
        <v>5.8744096458217664E-3</v>
      </c>
      <c r="H205" s="19">
        <f>((G205*1000)/1.1)</f>
        <v>5.3403724052925146</v>
      </c>
      <c r="I205" s="19">
        <f>(H205/120.15)*1000</f>
        <v>44.447543947503242</v>
      </c>
      <c r="J205" s="15"/>
    </row>
    <row r="206" spans="1:10" x14ac:dyDescent="0.4">
      <c r="A206" t="s">
        <v>5</v>
      </c>
      <c r="B206" s="13">
        <v>4.83</v>
      </c>
      <c r="C206" s="20">
        <v>8.57</v>
      </c>
      <c r="D206" s="19">
        <f>C206/C207</f>
        <v>0.30070175438596491</v>
      </c>
      <c r="E206" s="9"/>
      <c r="F206" s="29"/>
      <c r="G206" s="28"/>
      <c r="H206" s="20"/>
      <c r="I206" s="20"/>
      <c r="J206" s="15"/>
    </row>
    <row r="207" spans="1:10" ht="15" thickBot="1" x14ac:dyDescent="0.45">
      <c r="A207" t="s">
        <v>4</v>
      </c>
      <c r="B207" s="14">
        <v>6.2119999999999997</v>
      </c>
      <c r="C207" s="11">
        <v>28.5</v>
      </c>
      <c r="D207" s="11"/>
      <c r="E207" s="16"/>
      <c r="F207" s="32"/>
      <c r="G207" s="36">
        <f>C207/(C205+C206+C207)</f>
        <v>1.9161338469916699E-2</v>
      </c>
      <c r="H207" s="20"/>
      <c r="I207" s="20"/>
      <c r="J207" s="15"/>
    </row>
    <row r="208" spans="1:10" ht="15" thickBot="1" x14ac:dyDescent="0.45">
      <c r="A208" s="1" t="s">
        <v>100</v>
      </c>
      <c r="B208" s="1"/>
      <c r="C208" s="1"/>
      <c r="D208" s="1"/>
      <c r="E208" s="1"/>
      <c r="F208" s="1"/>
      <c r="G208" s="1"/>
      <c r="H208" s="1"/>
      <c r="I208" s="1"/>
      <c r="J208" s="21"/>
    </row>
    <row r="209" spans="1:10" x14ac:dyDescent="0.4">
      <c r="A209" s="22" t="s">
        <v>0</v>
      </c>
      <c r="B209" s="23" t="s">
        <v>2</v>
      </c>
      <c r="C209" s="24" t="s">
        <v>1</v>
      </c>
      <c r="D209" s="24" t="s">
        <v>11</v>
      </c>
      <c r="E209" s="8" t="s">
        <v>7</v>
      </c>
      <c r="F209" s="25" t="s">
        <v>47</v>
      </c>
      <c r="G209" s="22" t="s">
        <v>12</v>
      </c>
      <c r="H209" s="15" t="s">
        <v>8</v>
      </c>
      <c r="I209" s="15" t="s">
        <v>7</v>
      </c>
      <c r="J209" s="20"/>
    </row>
    <row r="210" spans="1:10" x14ac:dyDescent="0.4">
      <c r="A210" s="22" t="s">
        <v>3</v>
      </c>
      <c r="B210" s="26">
        <v>3.1</v>
      </c>
      <c r="C210" s="27">
        <v>371.5</v>
      </c>
      <c r="D210" s="28">
        <f>C210/C212</f>
        <v>49.533333333333331</v>
      </c>
      <c r="E210" s="29">
        <f>(D211+0.0045)/0.0056</f>
        <v>20.303571428571427</v>
      </c>
      <c r="F210" s="29">
        <f>(E210*120.15)/1000</f>
        <v>2.439474107142857</v>
      </c>
      <c r="G210" s="35">
        <f>(C211/(C210+C211))</f>
        <v>2.1997265785522629E-3</v>
      </c>
      <c r="H210" s="19">
        <f>((G210*1000)/1.1)</f>
        <v>1.9997514350475116</v>
      </c>
      <c r="I210" s="19">
        <f>(H210/120.15)*1000</f>
        <v>16.643790553870257</v>
      </c>
      <c r="J210" s="20"/>
    </row>
    <row r="211" spans="1:10" x14ac:dyDescent="0.4">
      <c r="A211" s="22" t="s">
        <v>5</v>
      </c>
      <c r="B211" s="26">
        <v>4.83</v>
      </c>
      <c r="C211" s="27">
        <v>0.81899999999999995</v>
      </c>
      <c r="D211" s="18">
        <f>C211/C212</f>
        <v>0.10919999999999999</v>
      </c>
      <c r="E211" s="29"/>
      <c r="F211" s="29"/>
      <c r="G211" s="28"/>
      <c r="H211" s="20"/>
      <c r="I211" s="20"/>
      <c r="J211" s="20"/>
    </row>
    <row r="212" spans="1:10" ht="15" thickBot="1" x14ac:dyDescent="0.45">
      <c r="A212" s="22" t="s">
        <v>4</v>
      </c>
      <c r="B212" s="30">
        <v>6.2119999999999997</v>
      </c>
      <c r="C212" s="31">
        <v>7.5</v>
      </c>
      <c r="D212" s="31"/>
      <c r="E212" s="32"/>
      <c r="F212" s="32"/>
      <c r="G212" s="36">
        <f>C212/(C210+C211+C212)</f>
        <v>1.9746247554756343E-2</v>
      </c>
      <c r="H212" s="20"/>
      <c r="I212" s="20"/>
      <c r="J212" s="20"/>
    </row>
    <row r="213" spans="1:10" ht="15" thickBot="1" x14ac:dyDescent="0.45">
      <c r="A213" s="1" t="s">
        <v>101</v>
      </c>
      <c r="B213" s="33"/>
      <c r="C213" s="33"/>
      <c r="D213" s="33"/>
      <c r="E213" s="33"/>
      <c r="F213" s="33"/>
      <c r="G213" s="1"/>
      <c r="H213" s="1"/>
      <c r="I213" s="1"/>
      <c r="J213" s="34"/>
    </row>
    <row r="214" spans="1:10" x14ac:dyDescent="0.4">
      <c r="A214" s="22" t="s">
        <v>0</v>
      </c>
      <c r="B214" s="23" t="s">
        <v>2</v>
      </c>
      <c r="C214" s="24" t="s">
        <v>1</v>
      </c>
      <c r="D214" s="24" t="s">
        <v>11</v>
      </c>
      <c r="E214" s="8" t="s">
        <v>7</v>
      </c>
      <c r="F214" s="25" t="s">
        <v>47</v>
      </c>
      <c r="G214" s="22" t="s">
        <v>12</v>
      </c>
      <c r="H214" s="15" t="s">
        <v>8</v>
      </c>
      <c r="I214" s="15" t="s">
        <v>7</v>
      </c>
      <c r="J214" s="34"/>
    </row>
    <row r="215" spans="1:10" x14ac:dyDescent="0.4">
      <c r="A215" s="22" t="s">
        <v>3</v>
      </c>
      <c r="B215" s="26">
        <v>3.14</v>
      </c>
      <c r="C215" s="20">
        <v>1437.6</v>
      </c>
      <c r="D215" s="28">
        <f>C215/C217</f>
        <v>50.26573426573426</v>
      </c>
      <c r="E215" s="29">
        <f>(D216+0.0045)/0.0056</f>
        <v>35.393981018981016</v>
      </c>
      <c r="F215" s="29">
        <f>(E215*120.15)/1000</f>
        <v>4.2525868194305696</v>
      </c>
      <c r="G215" s="35">
        <f>(C216/(C215+C216))</f>
        <v>3.8388513934891977E-3</v>
      </c>
      <c r="H215" s="19">
        <f>((G215*1000)/1.1)</f>
        <v>3.4898649031719975</v>
      </c>
      <c r="I215" s="19">
        <f>(H215/120.15)*1000</f>
        <v>29.045900151244258</v>
      </c>
      <c r="J215" s="34"/>
    </row>
    <row r="216" spans="1:10" x14ac:dyDescent="0.4">
      <c r="A216" s="22" t="s">
        <v>5</v>
      </c>
      <c r="B216" s="26">
        <v>4.83</v>
      </c>
      <c r="C216" s="20">
        <v>5.54</v>
      </c>
      <c r="D216" s="18">
        <f>C216/C217</f>
        <v>0.19370629370629369</v>
      </c>
      <c r="E216" s="29"/>
      <c r="F216" s="29"/>
      <c r="G216" s="28"/>
      <c r="H216" s="20"/>
      <c r="I216" s="20"/>
      <c r="J216" s="34"/>
    </row>
    <row r="217" spans="1:10" ht="15" thickBot="1" x14ac:dyDescent="0.45">
      <c r="A217" s="22" t="s">
        <v>4</v>
      </c>
      <c r="B217" s="30">
        <v>6.2119999999999997</v>
      </c>
      <c r="C217" s="31">
        <v>28.6</v>
      </c>
      <c r="D217" s="31"/>
      <c r="E217" s="32"/>
      <c r="F217" s="32"/>
      <c r="G217" s="36">
        <f>C217/(C215+C216+C217)</f>
        <v>1.9432780246510937E-2</v>
      </c>
      <c r="H217" s="20"/>
      <c r="I217" s="20"/>
      <c r="J217" s="34"/>
    </row>
    <row r="218" spans="1:10" x14ac:dyDescent="0.4">
      <c r="A218" s="3" t="s">
        <v>13</v>
      </c>
      <c r="B218" s="3"/>
      <c r="C218" s="3"/>
      <c r="D218" s="3"/>
      <c r="E218" s="3"/>
      <c r="F218" s="3"/>
      <c r="G218" s="3"/>
      <c r="H218" s="3"/>
      <c r="I218" s="3"/>
      <c r="J218" s="3"/>
    </row>
    <row r="219" spans="1:10" ht="15" thickBot="1" x14ac:dyDescent="0.45">
      <c r="A219" s="1" t="s">
        <v>102</v>
      </c>
      <c r="B219" s="1"/>
      <c r="C219" s="1"/>
      <c r="D219" s="1"/>
      <c r="E219" s="1"/>
      <c r="F219" s="1"/>
      <c r="G219" s="1"/>
      <c r="H219" s="1"/>
      <c r="I219" s="1"/>
      <c r="J219" s="21"/>
    </row>
    <row r="220" spans="1:10" x14ac:dyDescent="0.4">
      <c r="A220" s="22" t="s">
        <v>0</v>
      </c>
      <c r="B220" s="23" t="s">
        <v>2</v>
      </c>
      <c r="C220" s="24" t="s">
        <v>1</v>
      </c>
      <c r="D220" s="24" t="s">
        <v>11</v>
      </c>
      <c r="E220" s="7" t="s">
        <v>7</v>
      </c>
      <c r="F220" s="41" t="s">
        <v>47</v>
      </c>
      <c r="G220" s="22" t="s">
        <v>12</v>
      </c>
      <c r="H220" s="15" t="s">
        <v>8</v>
      </c>
      <c r="I220" s="15" t="s">
        <v>7</v>
      </c>
      <c r="J220" s="20"/>
    </row>
    <row r="221" spans="1:10" x14ac:dyDescent="0.4">
      <c r="A221" s="22" t="s">
        <v>3</v>
      </c>
      <c r="B221" s="26">
        <v>3.1</v>
      </c>
      <c r="C221" s="27">
        <v>1619.2</v>
      </c>
      <c r="D221" s="28">
        <f>C221/C223</f>
        <v>49.215805471124625</v>
      </c>
      <c r="E221" s="29">
        <f>(D222+0.0045)/0.0056</f>
        <v>84.932967867998272</v>
      </c>
      <c r="F221" s="42">
        <f>(E221*120.15)/1000</f>
        <v>10.204696089339993</v>
      </c>
      <c r="G221" s="35">
        <f>(C222/(C221+C222))</f>
        <v>9.4818621153728508E-3</v>
      </c>
      <c r="H221" s="19">
        <f>((G221*1000)/1.1)</f>
        <v>8.6198746503389536</v>
      </c>
      <c r="I221" s="19">
        <f>(H221/120.15)*1000</f>
        <v>71.742610489712462</v>
      </c>
      <c r="J221" s="20"/>
    </row>
    <row r="222" spans="1:10" x14ac:dyDescent="0.4">
      <c r="A222" s="22" t="s">
        <v>5</v>
      </c>
      <c r="B222" s="26">
        <v>4.83</v>
      </c>
      <c r="C222" s="27">
        <v>15.5</v>
      </c>
      <c r="D222" s="18">
        <f>C222/C223</f>
        <v>0.47112462006079031</v>
      </c>
      <c r="E222" s="27"/>
      <c r="F222" s="42"/>
      <c r="G222" s="28"/>
      <c r="H222" s="20"/>
      <c r="I222" s="20"/>
      <c r="J222" s="20"/>
    </row>
    <row r="223" spans="1:10" ht="15" thickBot="1" x14ac:dyDescent="0.45">
      <c r="A223" s="22" t="s">
        <v>4</v>
      </c>
      <c r="B223" s="30">
        <v>6.2119999999999997</v>
      </c>
      <c r="C223" s="31">
        <v>32.9</v>
      </c>
      <c r="D223" s="31"/>
      <c r="E223" s="40"/>
      <c r="F223" s="43"/>
      <c r="G223" s="36">
        <f>C223/(C221+C222+C223)</f>
        <v>1.9728951786999276E-2</v>
      </c>
      <c r="H223" s="20"/>
      <c r="I223" s="20"/>
      <c r="J223" s="20"/>
    </row>
    <row r="224" spans="1:10" ht="15" thickBot="1" x14ac:dyDescent="0.45">
      <c r="A224" s="1" t="s">
        <v>103</v>
      </c>
      <c r="B224" s="33"/>
      <c r="C224" s="33"/>
      <c r="D224" s="33"/>
      <c r="E224" s="33"/>
      <c r="F224" s="33"/>
      <c r="G224" s="1"/>
      <c r="H224" s="1"/>
      <c r="I224" s="1"/>
      <c r="J224" s="34"/>
    </row>
    <row r="225" spans="1:10" x14ac:dyDescent="0.4">
      <c r="A225" s="22" t="s">
        <v>0</v>
      </c>
      <c r="B225" s="23" t="s">
        <v>2</v>
      </c>
      <c r="C225" s="24" t="s">
        <v>1</v>
      </c>
      <c r="D225" s="24" t="s">
        <v>11</v>
      </c>
      <c r="E225" s="8" t="s">
        <v>7</v>
      </c>
      <c r="F225" s="25" t="s">
        <v>47</v>
      </c>
      <c r="G225" s="22" t="s">
        <v>12</v>
      </c>
      <c r="H225" s="15" t="s">
        <v>8</v>
      </c>
      <c r="I225" s="15" t="s">
        <v>7</v>
      </c>
      <c r="J225" s="34"/>
    </row>
    <row r="226" spans="1:10" x14ac:dyDescent="0.4">
      <c r="A226" s="22" t="s">
        <v>3</v>
      </c>
      <c r="B226" s="26">
        <v>3.14</v>
      </c>
      <c r="C226" s="20">
        <v>373.5</v>
      </c>
      <c r="D226" s="28">
        <f>C226/C228</f>
        <v>49.8</v>
      </c>
      <c r="E226" s="29">
        <f>(D227+0.0045)/0.0056</f>
        <v>23.732142857142854</v>
      </c>
      <c r="F226" s="29">
        <f>(E226*120.15)/1000</f>
        <v>2.8514169642857143</v>
      </c>
      <c r="G226" s="35">
        <f>(C227/(C226+C227))</f>
        <v>2.5716826495541614E-3</v>
      </c>
      <c r="H226" s="19">
        <f>((G226*1000)/1.1)</f>
        <v>2.3378933177765102</v>
      </c>
      <c r="I226" s="19">
        <f>(H226/120.15)*1000</f>
        <v>19.458121662725844</v>
      </c>
      <c r="J226" s="34"/>
    </row>
    <row r="227" spans="1:10" x14ac:dyDescent="0.4">
      <c r="A227" s="22" t="s">
        <v>5</v>
      </c>
      <c r="B227" s="26">
        <v>4.83</v>
      </c>
      <c r="C227" s="20">
        <v>0.96299999999999997</v>
      </c>
      <c r="D227" s="18">
        <f>C227/C228</f>
        <v>0.12839999999999999</v>
      </c>
      <c r="E227" s="29"/>
      <c r="F227" s="29"/>
      <c r="G227" s="28"/>
      <c r="H227" s="20"/>
      <c r="I227" s="20"/>
      <c r="J227" s="34"/>
    </row>
    <row r="228" spans="1:10" ht="15" thickBot="1" x14ac:dyDescent="0.45">
      <c r="A228" s="22" t="s">
        <v>4</v>
      </c>
      <c r="B228" s="30">
        <v>6.2119999999999997</v>
      </c>
      <c r="C228" s="31">
        <v>7.5</v>
      </c>
      <c r="D228" s="31"/>
      <c r="E228" s="32"/>
      <c r="F228" s="32"/>
      <c r="G228" s="36">
        <f>C228/(C226+C227+C228)</f>
        <v>1.963540971245906E-2</v>
      </c>
      <c r="H228" s="20"/>
      <c r="I228" s="20"/>
      <c r="J228" s="34"/>
    </row>
    <row r="229" spans="1:10" ht="15" thickBot="1" x14ac:dyDescent="0.45">
      <c r="A229" s="1" t="s">
        <v>104</v>
      </c>
      <c r="B229" s="33"/>
      <c r="C229" s="33"/>
      <c r="D229" s="33"/>
      <c r="E229" s="33"/>
      <c r="F229" s="33"/>
      <c r="G229" s="1"/>
      <c r="H229" s="1"/>
      <c r="I229" s="1"/>
      <c r="J229" s="34"/>
    </row>
    <row r="230" spans="1:10" x14ac:dyDescent="0.4">
      <c r="A230" t="s">
        <v>0</v>
      </c>
      <c r="B230" s="23" t="s">
        <v>2</v>
      </c>
      <c r="C230" s="24" t="s">
        <v>1</v>
      </c>
      <c r="D230" s="24" t="s">
        <v>11</v>
      </c>
      <c r="E230" s="8" t="s">
        <v>7</v>
      </c>
      <c r="F230" s="25" t="s">
        <v>47</v>
      </c>
      <c r="G230" s="22" t="s">
        <v>12</v>
      </c>
      <c r="H230" s="15" t="s">
        <v>8</v>
      </c>
      <c r="I230" s="15" t="s">
        <v>7</v>
      </c>
      <c r="J230" s="15"/>
    </row>
    <row r="231" spans="1:10" x14ac:dyDescent="0.4">
      <c r="A231" t="s">
        <v>3</v>
      </c>
      <c r="B231" s="13">
        <v>3.1</v>
      </c>
      <c r="C231" s="20">
        <v>1352.1</v>
      </c>
      <c r="D231" s="5">
        <f>C231/C233</f>
        <v>44.042345276872965</v>
      </c>
      <c r="E231" s="29">
        <f>(D232+0.0045)/0.0056</f>
        <v>65.36848534201954</v>
      </c>
      <c r="F231" s="29">
        <f>(E231*120.15)/1000</f>
        <v>7.8540235138436483</v>
      </c>
      <c r="G231" s="35">
        <f>(C232/(C231+C232))</f>
        <v>8.1426056338028182E-3</v>
      </c>
      <c r="H231" s="19">
        <f>((G231*1000)/1.1)</f>
        <v>7.4023687580025612</v>
      </c>
      <c r="I231" s="19">
        <f>(H231/120.15)*1000</f>
        <v>61.609394573471171</v>
      </c>
      <c r="J231" s="15"/>
    </row>
    <row r="232" spans="1:10" x14ac:dyDescent="0.4">
      <c r="A232" t="s">
        <v>5</v>
      </c>
      <c r="B232" s="13">
        <v>4.83</v>
      </c>
      <c r="C232" s="20">
        <v>11.1</v>
      </c>
      <c r="D232" s="19">
        <f>C232/C233</f>
        <v>0.36156351791530944</v>
      </c>
      <c r="E232" s="9"/>
      <c r="F232" s="29"/>
      <c r="G232" s="28"/>
      <c r="H232" s="20"/>
      <c r="I232" s="20"/>
      <c r="J232" s="15"/>
    </row>
    <row r="233" spans="1:10" ht="15" thickBot="1" x14ac:dyDescent="0.45">
      <c r="A233" t="s">
        <v>4</v>
      </c>
      <c r="B233" s="14">
        <v>6.2119999999999997</v>
      </c>
      <c r="C233" s="11">
        <v>30.7</v>
      </c>
      <c r="D233" s="11"/>
      <c r="E233" s="16"/>
      <c r="F233" s="32"/>
      <c r="G233" s="36">
        <f>C233/(C231+C232+C233)</f>
        <v>2.2024535476002586E-2</v>
      </c>
      <c r="H233" s="20"/>
      <c r="I233" s="20"/>
      <c r="J233" s="15"/>
    </row>
    <row r="234" spans="1:10" ht="15" thickBot="1" x14ac:dyDescent="0.45">
      <c r="A234" s="1" t="s">
        <v>105</v>
      </c>
      <c r="B234" s="33"/>
      <c r="C234" s="33"/>
      <c r="D234" s="33"/>
      <c r="E234" s="33"/>
      <c r="F234" s="33"/>
      <c r="G234" s="1"/>
      <c r="H234" s="1"/>
      <c r="I234" s="1"/>
      <c r="J234" s="34"/>
    </row>
    <row r="235" spans="1:10" x14ac:dyDescent="0.4">
      <c r="A235" t="s">
        <v>0</v>
      </c>
      <c r="B235" s="23" t="s">
        <v>2</v>
      </c>
      <c r="C235" s="24" t="s">
        <v>1</v>
      </c>
      <c r="D235" s="24" t="s">
        <v>11</v>
      </c>
      <c r="E235" s="8" t="s">
        <v>7</v>
      </c>
      <c r="F235" s="25" t="s">
        <v>47</v>
      </c>
      <c r="G235" s="22" t="s">
        <v>12</v>
      </c>
      <c r="H235" s="15" t="s">
        <v>8</v>
      </c>
      <c r="I235" s="15" t="s">
        <v>7</v>
      </c>
      <c r="J235" s="15"/>
    </row>
    <row r="236" spans="1:10" x14ac:dyDescent="0.4">
      <c r="A236" t="s">
        <v>3</v>
      </c>
      <c r="B236" s="13">
        <v>3.1</v>
      </c>
      <c r="C236" s="20">
        <v>1449.3</v>
      </c>
      <c r="D236" s="5">
        <f>C236/C238</f>
        <v>49.464163822525592</v>
      </c>
      <c r="E236" s="29">
        <f>(D237+0.0045)/0.0056</f>
        <v>55.472025841053146</v>
      </c>
      <c r="F236" s="29">
        <f>(E236*120.15)/1000</f>
        <v>6.6649639048025353</v>
      </c>
      <c r="G236" s="35">
        <f>(C237/(C236+C237))</f>
        <v>6.1511242773971903E-3</v>
      </c>
      <c r="H236" s="19">
        <f>((G236*1000)/1.1)</f>
        <v>5.5919311612701721</v>
      </c>
      <c r="I236" s="19">
        <f>(H236/120.15)*1000</f>
        <v>46.541249781690979</v>
      </c>
      <c r="J236" s="15"/>
    </row>
    <row r="237" spans="1:10" x14ac:dyDescent="0.4">
      <c r="A237" t="s">
        <v>5</v>
      </c>
      <c r="B237" s="13">
        <v>4.83</v>
      </c>
      <c r="C237" s="20">
        <v>8.9700000000000006</v>
      </c>
      <c r="D237" s="19">
        <f>C237/C238</f>
        <v>0.30614334470989762</v>
      </c>
      <c r="E237" s="9"/>
      <c r="F237" s="29"/>
      <c r="G237" s="28"/>
      <c r="H237" s="20"/>
      <c r="I237" s="20"/>
      <c r="J237" s="15"/>
    </row>
    <row r="238" spans="1:10" ht="15" thickBot="1" x14ac:dyDescent="0.45">
      <c r="A238" t="s">
        <v>4</v>
      </c>
      <c r="B238" s="14">
        <v>6.2119999999999997</v>
      </c>
      <c r="C238" s="11">
        <v>29.3</v>
      </c>
      <c r="D238" s="11"/>
      <c r="E238" s="16"/>
      <c r="F238" s="32"/>
      <c r="G238" s="36">
        <f>C238/(C236+C237+C238)</f>
        <v>1.9696552095027461E-2</v>
      </c>
      <c r="H238" s="20"/>
      <c r="I238" s="20"/>
      <c r="J238" s="15"/>
    </row>
    <row r="239" spans="1:10" ht="15" thickBot="1" x14ac:dyDescent="0.45">
      <c r="A239" s="1" t="s">
        <v>106</v>
      </c>
      <c r="B239" s="1"/>
      <c r="C239" s="1"/>
      <c r="D239" s="1"/>
      <c r="E239" s="1"/>
      <c r="F239" s="1"/>
      <c r="G239" s="1"/>
      <c r="H239" s="1"/>
      <c r="I239" s="1"/>
      <c r="J239" s="21"/>
    </row>
    <row r="240" spans="1:10" x14ac:dyDescent="0.4">
      <c r="A240" s="22" t="s">
        <v>0</v>
      </c>
      <c r="B240" s="23" t="s">
        <v>2</v>
      </c>
      <c r="C240" s="24" t="s">
        <v>1</v>
      </c>
      <c r="D240" s="24" t="s">
        <v>11</v>
      </c>
      <c r="E240" s="8" t="s">
        <v>7</v>
      </c>
      <c r="F240" s="25" t="s">
        <v>47</v>
      </c>
      <c r="G240" s="22" t="s">
        <v>12</v>
      </c>
      <c r="H240" s="15" t="s">
        <v>8</v>
      </c>
      <c r="I240" s="15" t="s">
        <v>7</v>
      </c>
      <c r="J240" s="20"/>
    </row>
    <row r="241" spans="1:10" x14ac:dyDescent="0.4">
      <c r="A241" s="22" t="s">
        <v>3</v>
      </c>
      <c r="B241" s="26">
        <v>3.1</v>
      </c>
      <c r="C241" s="27">
        <v>347.2</v>
      </c>
      <c r="D241" s="28">
        <f>C241/C243</f>
        <v>48.901408450704224</v>
      </c>
      <c r="E241" s="29">
        <f>(D242+0.0045)/0.0056</f>
        <v>19.465543259557347</v>
      </c>
      <c r="F241" s="29">
        <f>(E241*120.15)/1000</f>
        <v>2.3387850226358156</v>
      </c>
      <c r="G241" s="35">
        <f>(C242/(C241+C242))</f>
        <v>2.1325393312678549E-3</v>
      </c>
      <c r="H241" s="19">
        <f>((G241*1000)/1.1)</f>
        <v>1.9386721193344134</v>
      </c>
      <c r="I241" s="19">
        <f>(H241/120.15)*1000</f>
        <v>16.13543170482242</v>
      </c>
      <c r="J241" s="20"/>
    </row>
    <row r="242" spans="1:10" x14ac:dyDescent="0.4">
      <c r="A242" s="22" t="s">
        <v>5</v>
      </c>
      <c r="B242" s="26">
        <v>4.83</v>
      </c>
      <c r="C242" s="27">
        <v>0.74199999999999999</v>
      </c>
      <c r="D242" s="18">
        <f>C242/C243</f>
        <v>0.10450704225352113</v>
      </c>
      <c r="E242" s="29"/>
      <c r="F242" s="29"/>
      <c r="G242" s="28"/>
      <c r="H242" s="20"/>
      <c r="I242" s="20"/>
      <c r="J242" s="20"/>
    </row>
    <row r="243" spans="1:10" ht="15" thickBot="1" x14ac:dyDescent="0.45">
      <c r="A243" s="22" t="s">
        <v>4</v>
      </c>
      <c r="B243" s="30">
        <v>6.2119999999999997</v>
      </c>
      <c r="C243" s="31">
        <v>7.1</v>
      </c>
      <c r="D243" s="31"/>
      <c r="E243" s="32"/>
      <c r="F243" s="32"/>
      <c r="G243" s="36">
        <f>C243/(C241+C242+C243)</f>
        <v>1.9997634082728238E-2</v>
      </c>
      <c r="H243" s="20"/>
      <c r="I243" s="20"/>
      <c r="J243" s="20"/>
    </row>
    <row r="244" spans="1:10" ht="15" thickBot="1" x14ac:dyDescent="0.45">
      <c r="A244" s="1" t="s">
        <v>107</v>
      </c>
      <c r="B244" s="33"/>
      <c r="C244" s="33"/>
      <c r="D244" s="33"/>
      <c r="E244" s="33"/>
      <c r="F244" s="33"/>
      <c r="G244" s="1"/>
      <c r="H244" s="1"/>
      <c r="I244" s="1"/>
      <c r="J244" s="34"/>
    </row>
    <row r="245" spans="1:10" x14ac:dyDescent="0.4">
      <c r="A245" s="22" t="s">
        <v>0</v>
      </c>
      <c r="B245" s="23" t="s">
        <v>2</v>
      </c>
      <c r="C245" s="24" t="s">
        <v>1</v>
      </c>
      <c r="D245" s="24" t="s">
        <v>11</v>
      </c>
      <c r="E245" s="8" t="s">
        <v>7</v>
      </c>
      <c r="F245" s="25" t="s">
        <v>47</v>
      </c>
      <c r="G245" s="22" t="s">
        <v>12</v>
      </c>
      <c r="H245" s="15" t="s">
        <v>8</v>
      </c>
      <c r="I245" s="15" t="s">
        <v>7</v>
      </c>
      <c r="J245" s="34"/>
    </row>
    <row r="246" spans="1:10" x14ac:dyDescent="0.4">
      <c r="A246" s="22" t="s">
        <v>3</v>
      </c>
      <c r="B246" s="26">
        <v>3.14</v>
      </c>
      <c r="C246" s="27">
        <v>1413.1</v>
      </c>
      <c r="D246" s="28">
        <f>C246/C248</f>
        <v>48.896193771626294</v>
      </c>
      <c r="E246" s="29">
        <f>(D247+0.0045)/0.0056</f>
        <v>35.961752347998029</v>
      </c>
      <c r="F246" s="29">
        <f>(E246*120.15)/1000</f>
        <v>4.3208045446119634</v>
      </c>
      <c r="G246" s="35" t="e">
        <f>(#REF!/(C248+#REF!))</f>
        <v>#REF!</v>
      </c>
      <c r="H246" s="19" t="e">
        <f>((G246*1000)/1.1)</f>
        <v>#REF!</v>
      </c>
      <c r="I246" s="19" t="e">
        <f>(H246/120.15)*1000</f>
        <v>#REF!</v>
      </c>
      <c r="J246" s="34"/>
    </row>
    <row r="247" spans="1:10" x14ac:dyDescent="0.4">
      <c r="A247" s="22" t="s">
        <v>5</v>
      </c>
      <c r="B247" s="26">
        <v>4.83</v>
      </c>
      <c r="C247" s="27">
        <v>5.69</v>
      </c>
      <c r="D247" s="18">
        <f>C247/C248</f>
        <v>0.19688581314878895</v>
      </c>
      <c r="E247" s="29"/>
      <c r="F247" s="29"/>
      <c r="G247" s="28"/>
      <c r="H247" s="20"/>
      <c r="I247" s="20"/>
      <c r="J247" s="34"/>
    </row>
    <row r="248" spans="1:10" ht="15" thickBot="1" x14ac:dyDescent="0.45">
      <c r="A248" s="22" t="s">
        <v>4</v>
      </c>
      <c r="B248" s="30">
        <v>6.2119999999999997</v>
      </c>
      <c r="C248" s="31">
        <v>28.9</v>
      </c>
      <c r="D248" s="31"/>
      <c r="E248" s="32"/>
      <c r="F248" s="32"/>
      <c r="G248" s="36" t="e">
        <f>#REF!/(C248+#REF!+#REF!)</f>
        <v>#REF!</v>
      </c>
      <c r="H248" s="20"/>
      <c r="I248" s="20"/>
      <c r="J248" s="34"/>
    </row>
    <row r="249" spans="1:10" x14ac:dyDescent="0.4">
      <c r="A249" s="3" t="s">
        <v>13</v>
      </c>
      <c r="B249" s="3"/>
      <c r="C249" s="3"/>
      <c r="D249" s="3"/>
      <c r="E249" s="3"/>
      <c r="F249" s="3"/>
      <c r="G249" s="3"/>
      <c r="H249" s="3"/>
      <c r="I249" s="3"/>
      <c r="J249" s="3"/>
    </row>
    <row r="250" spans="1:10" ht="15" thickBot="1" x14ac:dyDescent="0.45">
      <c r="A250" s="1" t="s">
        <v>110</v>
      </c>
      <c r="B250" s="1"/>
      <c r="C250" s="1"/>
      <c r="D250" s="1"/>
      <c r="E250" s="1"/>
      <c r="F250" s="1"/>
      <c r="G250" s="1"/>
      <c r="H250" s="1"/>
      <c r="I250" s="1"/>
      <c r="J250" s="21"/>
    </row>
    <row r="251" spans="1:10" x14ac:dyDescent="0.4">
      <c r="A251" s="22" t="s">
        <v>0</v>
      </c>
      <c r="B251" s="23" t="s">
        <v>2</v>
      </c>
      <c r="C251" s="24" t="s">
        <v>1</v>
      </c>
      <c r="D251" s="24" t="s">
        <v>11</v>
      </c>
      <c r="E251" s="7" t="s">
        <v>7</v>
      </c>
      <c r="F251" s="41" t="s">
        <v>47</v>
      </c>
      <c r="G251" s="22" t="s">
        <v>12</v>
      </c>
      <c r="H251" s="15" t="s">
        <v>8</v>
      </c>
      <c r="I251" s="15" t="s">
        <v>7</v>
      </c>
      <c r="J251" s="20"/>
    </row>
    <row r="252" spans="1:10" x14ac:dyDescent="0.4">
      <c r="A252" s="22" t="s">
        <v>3</v>
      </c>
      <c r="B252" s="26">
        <v>3.1</v>
      </c>
      <c r="C252" s="27">
        <v>1437.7</v>
      </c>
      <c r="D252" s="28">
        <f>C252/C254</f>
        <v>49.920138888888886</v>
      </c>
      <c r="E252" s="29">
        <f>(D253+0.0045)/0.0056</f>
        <v>86.36904761904762</v>
      </c>
      <c r="F252" s="42">
        <f>(E252*120.15)/1000</f>
        <v>10.377241071428573</v>
      </c>
      <c r="G252" s="35">
        <f>(C253/(C252+C253))</f>
        <v>9.5074061315880126E-3</v>
      </c>
      <c r="H252" s="19">
        <f>((G252*1000)/1.1)</f>
        <v>8.6430964832618287</v>
      </c>
      <c r="I252" s="19">
        <f>(H252/120.15)*1000</f>
        <v>71.935884171966947</v>
      </c>
      <c r="J252" s="20"/>
    </row>
    <row r="253" spans="1:10" x14ac:dyDescent="0.4">
      <c r="A253" s="22" t="s">
        <v>5</v>
      </c>
      <c r="B253" s="26">
        <v>4.83</v>
      </c>
      <c r="C253" s="27">
        <v>13.8</v>
      </c>
      <c r="D253" s="18">
        <f>C253/C254</f>
        <v>0.47916666666666669</v>
      </c>
      <c r="E253" s="27"/>
      <c r="F253" s="42"/>
      <c r="G253" s="28"/>
      <c r="H253" s="20"/>
      <c r="I253" s="20"/>
      <c r="J253" s="20"/>
    </row>
    <row r="254" spans="1:10" ht="15" thickBot="1" x14ac:dyDescent="0.45">
      <c r="A254" s="22" t="s">
        <v>4</v>
      </c>
      <c r="B254" s="30">
        <v>6.2119999999999997</v>
      </c>
      <c r="C254" s="31">
        <v>28.8</v>
      </c>
      <c r="D254" s="31"/>
      <c r="E254" s="40"/>
      <c r="F254" s="43"/>
      <c r="G254" s="36">
        <f>C254/(C252+C253+C254)</f>
        <v>1.9455515773829632E-2</v>
      </c>
      <c r="H254" s="20"/>
      <c r="I254" s="20"/>
      <c r="J254" s="20"/>
    </row>
    <row r="255" spans="1:10" ht="15" thickBot="1" x14ac:dyDescent="0.45">
      <c r="A255" s="1" t="s">
        <v>111</v>
      </c>
      <c r="B255" s="33"/>
      <c r="C255" s="33"/>
      <c r="D255" s="33"/>
      <c r="E255" s="33"/>
      <c r="F255" s="33"/>
      <c r="G255" s="1"/>
      <c r="H255" s="1"/>
      <c r="I255" s="1"/>
      <c r="J255" s="34"/>
    </row>
    <row r="256" spans="1:10" x14ac:dyDescent="0.4">
      <c r="A256" s="22" t="s">
        <v>0</v>
      </c>
      <c r="B256" s="23" t="s">
        <v>2</v>
      </c>
      <c r="C256" s="24" t="s">
        <v>1</v>
      </c>
      <c r="D256" s="24" t="s">
        <v>11</v>
      </c>
      <c r="E256" s="8" t="s">
        <v>7</v>
      </c>
      <c r="F256" s="25" t="s">
        <v>47</v>
      </c>
      <c r="G256" s="22" t="s">
        <v>12</v>
      </c>
      <c r="H256" s="15" t="s">
        <v>8</v>
      </c>
      <c r="I256" s="15" t="s">
        <v>7</v>
      </c>
      <c r="J256" s="34"/>
    </row>
    <row r="257" spans="1:10" x14ac:dyDescent="0.4">
      <c r="A257" s="22" t="s">
        <v>3</v>
      </c>
      <c r="B257" s="26">
        <v>3.14</v>
      </c>
      <c r="C257" s="20">
        <v>338.1</v>
      </c>
      <c r="D257" s="28">
        <f>C257/C259</f>
        <v>44.486842105263165</v>
      </c>
      <c r="E257" s="29">
        <f>(D258+0.0045)/0.0056</f>
        <v>25.474624060150379</v>
      </c>
      <c r="F257" s="29">
        <f>(E257*120.15)/1000</f>
        <v>3.0607760808270683</v>
      </c>
      <c r="G257" s="35">
        <f>(C258/(C257+C258))</f>
        <v>3.0959752321981422E-3</v>
      </c>
      <c r="H257" s="19">
        <f>((G257*1000)/1.1)</f>
        <v>2.814522938361947</v>
      </c>
      <c r="I257" s="19">
        <f>(H257/120.15)*1000</f>
        <v>23.425076474090275</v>
      </c>
      <c r="J257" s="34"/>
    </row>
    <row r="258" spans="1:10" x14ac:dyDescent="0.4">
      <c r="A258" s="22" t="s">
        <v>5</v>
      </c>
      <c r="B258" s="26">
        <v>4.83</v>
      </c>
      <c r="C258" s="20">
        <v>1.05</v>
      </c>
      <c r="D258" s="18">
        <f>C258/C259</f>
        <v>0.13815789473684212</v>
      </c>
      <c r="E258" s="29"/>
      <c r="F258" s="29"/>
      <c r="G258" s="28"/>
      <c r="H258" s="20"/>
      <c r="I258" s="20"/>
      <c r="J258" s="34"/>
    </row>
    <row r="259" spans="1:10" ht="15" thickBot="1" x14ac:dyDescent="0.45">
      <c r="A259" s="22" t="s">
        <v>4</v>
      </c>
      <c r="B259" s="30">
        <v>6.2119999999999997</v>
      </c>
      <c r="C259" s="31">
        <v>7.6</v>
      </c>
      <c r="D259" s="31"/>
      <c r="E259" s="32"/>
      <c r="F259" s="32"/>
      <c r="G259" s="36">
        <f>C259/(C257+C258+C259)</f>
        <v>2.1917808219178079E-2</v>
      </c>
      <c r="H259" s="20"/>
      <c r="I259" s="20"/>
      <c r="J259" s="34"/>
    </row>
    <row r="260" spans="1:10" ht="15" thickBot="1" x14ac:dyDescent="0.45">
      <c r="A260" s="1" t="s">
        <v>112</v>
      </c>
      <c r="B260" s="33"/>
      <c r="C260" s="33"/>
      <c r="D260" s="33"/>
      <c r="E260" s="33"/>
      <c r="F260" s="33"/>
      <c r="G260" s="1"/>
      <c r="H260" s="1"/>
      <c r="I260" s="1"/>
      <c r="J260" s="34"/>
    </row>
    <row r="261" spans="1:10" x14ac:dyDescent="0.4">
      <c r="A261" t="s">
        <v>0</v>
      </c>
      <c r="B261" s="23" t="s">
        <v>2</v>
      </c>
      <c r="C261" s="24" t="s">
        <v>1</v>
      </c>
      <c r="D261" s="24" t="s">
        <v>11</v>
      </c>
      <c r="E261" s="8" t="s">
        <v>7</v>
      </c>
      <c r="F261" s="25" t="s">
        <v>47</v>
      </c>
      <c r="G261" s="22" t="s">
        <v>12</v>
      </c>
      <c r="H261" s="15" t="s">
        <v>8</v>
      </c>
      <c r="I261" s="15" t="s">
        <v>7</v>
      </c>
      <c r="J261" s="15"/>
    </row>
    <row r="262" spans="1:10" x14ac:dyDescent="0.4">
      <c r="A262" t="s">
        <v>3</v>
      </c>
      <c r="B262" s="13">
        <v>3.1</v>
      </c>
      <c r="C262" s="20">
        <v>1407</v>
      </c>
      <c r="D262" s="5">
        <f>C262/C264</f>
        <v>48.517241379310342</v>
      </c>
      <c r="E262" s="29">
        <f>(D263+0.0045)/0.0056</f>
        <v>66.074507389162562</v>
      </c>
      <c r="F262" s="29">
        <f>(E262*120.15)/1000</f>
        <v>7.9388520628078822</v>
      </c>
      <c r="G262" s="35">
        <f>(C263/(C262+C263))</f>
        <v>7.4774266365688494E-3</v>
      </c>
      <c r="H262" s="19">
        <f>((G262*1000)/1.1)</f>
        <v>6.7976605786989532</v>
      </c>
      <c r="I262" s="19">
        <f>(H262/120.15)*1000</f>
        <v>56.576450925501064</v>
      </c>
      <c r="J262" s="15"/>
    </row>
    <row r="263" spans="1:10" x14ac:dyDescent="0.4">
      <c r="A263" t="s">
        <v>5</v>
      </c>
      <c r="B263" s="13">
        <v>4.83</v>
      </c>
      <c r="C263" s="20">
        <v>10.6</v>
      </c>
      <c r="D263" s="19">
        <f>C263/C264</f>
        <v>0.36551724137931035</v>
      </c>
      <c r="E263" s="9"/>
      <c r="F263" s="29"/>
      <c r="G263" s="28"/>
      <c r="H263" s="20"/>
      <c r="I263" s="20"/>
      <c r="J263" s="15"/>
    </row>
    <row r="264" spans="1:10" ht="15" thickBot="1" x14ac:dyDescent="0.45">
      <c r="A264" t="s">
        <v>4</v>
      </c>
      <c r="B264" s="14">
        <v>6.2119999999999997</v>
      </c>
      <c r="C264" s="11">
        <v>29</v>
      </c>
      <c r="D264" s="11"/>
      <c r="E264" s="16"/>
      <c r="F264" s="32"/>
      <c r="G264" s="36">
        <f>C264/(C262+C263+C264)</f>
        <v>2.004700677450574E-2</v>
      </c>
      <c r="H264" s="20"/>
      <c r="I264" s="20"/>
      <c r="J264" s="15"/>
    </row>
    <row r="265" spans="1:10" ht="15" thickBot="1" x14ac:dyDescent="0.45">
      <c r="A265" s="1" t="s">
        <v>113</v>
      </c>
      <c r="B265" s="33"/>
      <c r="C265" s="33"/>
      <c r="D265" s="33"/>
      <c r="E265" s="33"/>
      <c r="F265" s="33"/>
      <c r="G265" s="1"/>
      <c r="H265" s="1"/>
      <c r="I265" s="1"/>
      <c r="J265" s="34"/>
    </row>
    <row r="266" spans="1:10" x14ac:dyDescent="0.4">
      <c r="A266" t="s">
        <v>0</v>
      </c>
      <c r="B266" s="23" t="s">
        <v>2</v>
      </c>
      <c r="C266" s="24" t="s">
        <v>1</v>
      </c>
      <c r="D266" s="24" t="s">
        <v>11</v>
      </c>
      <c r="E266" s="8" t="s">
        <v>7</v>
      </c>
      <c r="F266" s="25" t="s">
        <v>47</v>
      </c>
      <c r="G266" s="22" t="s">
        <v>12</v>
      </c>
      <c r="H266" s="15" t="s">
        <v>8</v>
      </c>
      <c r="I266" s="15" t="s">
        <v>7</v>
      </c>
      <c r="J266" s="15"/>
    </row>
    <row r="267" spans="1:10" x14ac:dyDescent="0.4">
      <c r="A267" t="s">
        <v>3</v>
      </c>
      <c r="B267" s="13">
        <v>3.1</v>
      </c>
      <c r="C267" s="20">
        <v>1471.3</v>
      </c>
      <c r="D267" s="5">
        <f>C267/C269</f>
        <v>49.53872053872054</v>
      </c>
      <c r="E267" s="29">
        <f>(D268+0.0045)/0.0056</f>
        <v>54.976250601250598</v>
      </c>
      <c r="F267" s="29">
        <f>(E267*120.15)/1000</f>
        <v>6.6053965097402596</v>
      </c>
      <c r="G267" s="35">
        <f>(C268/(C267+C268))</f>
        <v>6.0865629496524376E-3</v>
      </c>
      <c r="H267" s="19">
        <f>((G267*1000)/1.1)</f>
        <v>5.5332390451385791</v>
      </c>
      <c r="I267" s="19">
        <f>(H267/120.15)*1000</f>
        <v>46.052759426871233</v>
      </c>
      <c r="J267" s="15"/>
    </row>
    <row r="268" spans="1:10" x14ac:dyDescent="0.4">
      <c r="A268" t="s">
        <v>5</v>
      </c>
      <c r="B268" s="13">
        <v>4.83</v>
      </c>
      <c r="C268" s="20">
        <v>9.01</v>
      </c>
      <c r="D268" s="19">
        <f>C268/C269</f>
        <v>0.30336700336700334</v>
      </c>
      <c r="E268" s="9"/>
      <c r="F268" s="29"/>
      <c r="G268" s="28"/>
      <c r="H268" s="20"/>
      <c r="I268" s="20"/>
      <c r="J268" s="15"/>
    </row>
    <row r="269" spans="1:10" ht="15" thickBot="1" x14ac:dyDescent="0.45">
      <c r="A269" t="s">
        <v>4</v>
      </c>
      <c r="B269" s="14">
        <v>6.2119999999999997</v>
      </c>
      <c r="C269" s="11">
        <v>29.7</v>
      </c>
      <c r="D269" s="11"/>
      <c r="E269" s="16"/>
      <c r="F269" s="32"/>
      <c r="G269" s="36">
        <f>C269/(C267+C268+C269)</f>
        <v>1.9668743915603207E-2</v>
      </c>
      <c r="H269" s="20"/>
      <c r="I269" s="20"/>
      <c r="J269" s="15"/>
    </row>
    <row r="270" spans="1:10" ht="15" thickBot="1" x14ac:dyDescent="0.45">
      <c r="A270" s="1" t="s">
        <v>114</v>
      </c>
      <c r="B270" s="1"/>
      <c r="C270" s="1"/>
      <c r="D270" s="1"/>
      <c r="E270" s="1"/>
      <c r="F270" s="1"/>
      <c r="G270" s="1"/>
      <c r="H270" s="1"/>
      <c r="I270" s="1"/>
      <c r="J270" s="21"/>
    </row>
    <row r="271" spans="1:10" x14ac:dyDescent="0.4">
      <c r="A271" s="22" t="s">
        <v>0</v>
      </c>
      <c r="B271" s="23" t="s">
        <v>2</v>
      </c>
      <c r="C271" s="24" t="s">
        <v>1</v>
      </c>
      <c r="D271" s="24" t="s">
        <v>11</v>
      </c>
      <c r="E271" s="8" t="s">
        <v>7</v>
      </c>
      <c r="F271" s="25" t="s">
        <v>47</v>
      </c>
      <c r="G271" s="22" t="s">
        <v>12</v>
      </c>
      <c r="H271" s="15" t="s">
        <v>8</v>
      </c>
      <c r="I271" s="15" t="s">
        <v>7</v>
      </c>
      <c r="J271" s="20"/>
    </row>
    <row r="272" spans="1:10" x14ac:dyDescent="0.4">
      <c r="A272" s="22" t="s">
        <v>3</v>
      </c>
      <c r="B272" s="26">
        <v>3.1</v>
      </c>
      <c r="C272" s="27">
        <v>354.1</v>
      </c>
      <c r="D272" s="28">
        <f>C272/C274</f>
        <v>47.213333333333338</v>
      </c>
      <c r="E272" s="29">
        <f>(D273+0.0045)/0.0056</f>
        <v>20.208333333333332</v>
      </c>
      <c r="F272" s="29">
        <f>(E272*120.15)/1000</f>
        <v>2.4280312500000001</v>
      </c>
      <c r="G272" s="35">
        <f>(C273/(C272+C273))</f>
        <v>2.2963244720566895E-3</v>
      </c>
      <c r="H272" s="19">
        <f>((G272*1000)/1.1)</f>
        <v>2.0875677018697174</v>
      </c>
      <c r="I272" s="19">
        <f>(H272/120.15)*1000</f>
        <v>17.374679166622698</v>
      </c>
      <c r="J272" s="20"/>
    </row>
    <row r="273" spans="1:10" x14ac:dyDescent="0.4">
      <c r="A273" s="22" t="s">
        <v>5</v>
      </c>
      <c r="B273" s="26">
        <v>4.83</v>
      </c>
      <c r="C273" s="27">
        <v>0.81499999999999995</v>
      </c>
      <c r="D273" s="18">
        <f>C273/C274</f>
        <v>0.10866666666666666</v>
      </c>
      <c r="E273" s="29"/>
      <c r="F273" s="29"/>
      <c r="G273" s="28"/>
      <c r="H273" s="20"/>
      <c r="I273" s="20"/>
      <c r="J273" s="20"/>
    </row>
    <row r="274" spans="1:10" ht="15" thickBot="1" x14ac:dyDescent="0.45">
      <c r="A274" s="22" t="s">
        <v>4</v>
      </c>
      <c r="B274" s="30">
        <v>6.2119999999999997</v>
      </c>
      <c r="C274" s="31">
        <v>7.5</v>
      </c>
      <c r="D274" s="31"/>
      <c r="E274" s="32"/>
      <c r="F274" s="32"/>
      <c r="G274" s="36">
        <f>C274/(C272+C273+C274)</f>
        <v>2.0694507677662347E-2</v>
      </c>
      <c r="H274" s="20"/>
      <c r="I274" s="20"/>
      <c r="J274" s="20"/>
    </row>
    <row r="275" spans="1:10" ht="15" thickBot="1" x14ac:dyDescent="0.45">
      <c r="A275" s="1" t="s">
        <v>115</v>
      </c>
      <c r="B275" s="33"/>
      <c r="C275" s="33"/>
      <c r="D275" s="33"/>
      <c r="E275" s="33"/>
      <c r="F275" s="33"/>
      <c r="G275" s="1"/>
      <c r="H275" s="1"/>
      <c r="I275" s="1"/>
      <c r="J275" s="34"/>
    </row>
    <row r="276" spans="1:10" x14ac:dyDescent="0.4">
      <c r="A276" s="22" t="s">
        <v>0</v>
      </c>
      <c r="B276" s="23" t="s">
        <v>2</v>
      </c>
      <c r="C276" s="24" t="s">
        <v>1</v>
      </c>
      <c r="D276" s="24" t="s">
        <v>11</v>
      </c>
      <c r="E276" s="8" t="s">
        <v>7</v>
      </c>
      <c r="F276" s="25" t="s">
        <v>47</v>
      </c>
      <c r="G276" s="22" t="s">
        <v>12</v>
      </c>
      <c r="H276" s="15" t="s">
        <v>8</v>
      </c>
      <c r="I276" s="15" t="s">
        <v>7</v>
      </c>
      <c r="J276" s="34"/>
    </row>
    <row r="277" spans="1:10" x14ac:dyDescent="0.4">
      <c r="A277" s="22" t="s">
        <v>3</v>
      </c>
      <c r="B277" s="26">
        <v>3.14</v>
      </c>
      <c r="C277" s="20">
        <v>1554.4</v>
      </c>
      <c r="D277" s="28">
        <f>C277/C279</f>
        <v>49.503184713375802</v>
      </c>
      <c r="E277" s="29">
        <f>(D278+0.0045)/0.0056</f>
        <v>36.915946314831665</v>
      </c>
      <c r="F277" s="29">
        <f>(E277*120.15)/1000</f>
        <v>4.4354509497270245</v>
      </c>
      <c r="G277" s="35">
        <f>(C278/(C277+C278))</f>
        <v>4.0685567835976287E-3</v>
      </c>
      <c r="H277" s="19">
        <f>((G277*1000)/1.1)</f>
        <v>3.6986879850887528</v>
      </c>
      <c r="I277" s="19">
        <f>(H277/120.15)*1000</f>
        <v>30.783919975769891</v>
      </c>
      <c r="J277" s="34"/>
    </row>
    <row r="278" spans="1:10" x14ac:dyDescent="0.4">
      <c r="A278" s="22" t="s">
        <v>5</v>
      </c>
      <c r="B278" s="26">
        <v>4.83</v>
      </c>
      <c r="C278" s="20">
        <v>6.35</v>
      </c>
      <c r="D278" s="18">
        <f>C278/C279</f>
        <v>0.20222929936305734</v>
      </c>
      <c r="E278" s="29"/>
      <c r="F278" s="29"/>
      <c r="G278" s="28"/>
      <c r="H278" s="20"/>
      <c r="I278" s="20"/>
      <c r="J278" s="34"/>
    </row>
    <row r="279" spans="1:10" ht="15" thickBot="1" x14ac:dyDescent="0.45">
      <c r="A279" s="22" t="s">
        <v>4</v>
      </c>
      <c r="B279" s="30">
        <v>6.2119999999999997</v>
      </c>
      <c r="C279" s="31">
        <v>31.4</v>
      </c>
      <c r="D279" s="31"/>
      <c r="E279" s="32"/>
      <c r="F279" s="32"/>
      <c r="G279" s="36">
        <f>C279/(C277+C278+C279)</f>
        <v>1.9721759884432997E-2</v>
      </c>
      <c r="H279" s="20"/>
      <c r="I279" s="20"/>
      <c r="J279" s="34"/>
    </row>
    <row r="280" spans="1:10" x14ac:dyDescent="0.4">
      <c r="A280" s="3" t="s">
        <v>13</v>
      </c>
      <c r="B280" s="3"/>
      <c r="C280" s="3"/>
      <c r="D280" s="3"/>
      <c r="E280" s="3"/>
      <c r="F280" s="3"/>
      <c r="G280" s="3"/>
      <c r="H280" s="3"/>
      <c r="I280" s="3"/>
      <c r="J280" s="3"/>
    </row>
    <row r="281" spans="1:10" ht="15" thickBot="1" x14ac:dyDescent="0.45">
      <c r="A281" s="1" t="s">
        <v>116</v>
      </c>
      <c r="B281" s="1"/>
      <c r="C281" s="1"/>
      <c r="D281" s="1"/>
      <c r="E281" s="1"/>
      <c r="F281" s="1"/>
      <c r="G281" s="1"/>
      <c r="H281" s="1"/>
      <c r="I281" s="1"/>
      <c r="J281" s="21"/>
    </row>
    <row r="282" spans="1:10" x14ac:dyDescent="0.4">
      <c r="A282" s="22" t="s">
        <v>0</v>
      </c>
      <c r="B282" s="23" t="s">
        <v>2</v>
      </c>
      <c r="C282" s="24" t="s">
        <v>1</v>
      </c>
      <c r="D282" s="24" t="s">
        <v>11</v>
      </c>
      <c r="E282" s="7" t="s">
        <v>7</v>
      </c>
      <c r="F282" s="41" t="s">
        <v>47</v>
      </c>
      <c r="G282" s="22" t="s">
        <v>12</v>
      </c>
      <c r="H282" s="15" t="s">
        <v>8</v>
      </c>
      <c r="I282" s="15" t="s">
        <v>7</v>
      </c>
      <c r="J282" s="20"/>
    </row>
    <row r="283" spans="1:10" x14ac:dyDescent="0.4">
      <c r="A283" s="22" t="s">
        <v>3</v>
      </c>
      <c r="B283" s="26">
        <v>3.1</v>
      </c>
      <c r="C283" s="27">
        <v>1516.7</v>
      </c>
      <c r="D283" s="28">
        <f>C283/C285</f>
        <v>45.683734939759034</v>
      </c>
      <c r="E283" s="29">
        <f>(D284+0.0045)/0.0056</f>
        <v>84.172762478485367</v>
      </c>
      <c r="F283" s="42">
        <f>(E283*120.15)/1000</f>
        <v>10.113357411790018</v>
      </c>
      <c r="G283" s="35">
        <f>(C284/(C283+C284))</f>
        <v>1.0116172823391202E-2</v>
      </c>
      <c r="H283" s="19">
        <f>((G283*1000)/1.1)</f>
        <v>9.1965207485374556</v>
      </c>
      <c r="I283" s="19">
        <f>(H283/120.15)*1000</f>
        <v>76.541995410216032</v>
      </c>
      <c r="J283" s="20"/>
    </row>
    <row r="284" spans="1:10" x14ac:dyDescent="0.4">
      <c r="A284" s="22" t="s">
        <v>5</v>
      </c>
      <c r="B284" s="26">
        <v>4.83</v>
      </c>
      <c r="C284" s="27">
        <v>15.5</v>
      </c>
      <c r="D284" s="18">
        <f>C284/C285</f>
        <v>0.46686746987951805</v>
      </c>
      <c r="E284" s="27"/>
      <c r="F284" s="42"/>
      <c r="G284" s="28"/>
      <c r="H284" s="20"/>
      <c r="I284" s="20"/>
      <c r="J284" s="20"/>
    </row>
    <row r="285" spans="1:10" ht="15" thickBot="1" x14ac:dyDescent="0.45">
      <c r="A285" s="22" t="s">
        <v>4</v>
      </c>
      <c r="B285" s="30">
        <v>6.2119999999999997</v>
      </c>
      <c r="C285" s="31">
        <v>33.200000000000003</v>
      </c>
      <c r="D285" s="31"/>
      <c r="E285" s="40"/>
      <c r="F285" s="43"/>
      <c r="G285" s="36">
        <f>C285/(C283+C284+C285)</f>
        <v>2.1208636770154592E-2</v>
      </c>
      <c r="H285" s="20"/>
      <c r="I285" s="20"/>
      <c r="J285" s="20"/>
    </row>
    <row r="286" spans="1:10" ht="15" thickBot="1" x14ac:dyDescent="0.45">
      <c r="A286" s="1" t="s">
        <v>117</v>
      </c>
      <c r="B286" s="33"/>
      <c r="C286" s="33"/>
      <c r="D286" s="33"/>
      <c r="E286" s="33"/>
      <c r="F286" s="33"/>
      <c r="G286" s="1"/>
      <c r="H286" s="1"/>
      <c r="I286" s="1"/>
      <c r="J286" s="34"/>
    </row>
    <row r="287" spans="1:10" x14ac:dyDescent="0.4">
      <c r="A287" s="22" t="s">
        <v>0</v>
      </c>
      <c r="B287" s="23" t="s">
        <v>2</v>
      </c>
      <c r="C287" s="24" t="s">
        <v>1</v>
      </c>
      <c r="D287" s="24" t="s">
        <v>11</v>
      </c>
      <c r="E287" s="8" t="s">
        <v>7</v>
      </c>
      <c r="F287" s="25" t="s">
        <v>47</v>
      </c>
      <c r="G287" s="22" t="s">
        <v>12</v>
      </c>
      <c r="H287" s="15" t="s">
        <v>8</v>
      </c>
      <c r="I287" s="15" t="s">
        <v>7</v>
      </c>
      <c r="J287" s="34"/>
    </row>
    <row r="288" spans="1:10" x14ac:dyDescent="0.4">
      <c r="A288" s="22" t="s">
        <v>3</v>
      </c>
      <c r="B288" s="26">
        <v>3.14</v>
      </c>
      <c r="C288" s="20">
        <v>377.6</v>
      </c>
      <c r="D288" s="28">
        <f>C288/C290</f>
        <v>49.038961038961041</v>
      </c>
      <c r="E288" s="29">
        <f>(D289+0.0045)/0.0056</f>
        <v>22.974257884972168</v>
      </c>
      <c r="F288" s="29">
        <f>(E288*120.15)/1000</f>
        <v>2.7603570848794061</v>
      </c>
      <c r="G288" s="35">
        <f>(C289/(C288+C289))</f>
        <v>2.5253859402571874E-3</v>
      </c>
      <c r="H288" s="19">
        <f>((G288*1000)/1.1)</f>
        <v>2.2958054002338062</v>
      </c>
      <c r="I288" s="19">
        <f>(H288/120.15)*1000</f>
        <v>19.107826885008791</v>
      </c>
      <c r="J288" s="34"/>
    </row>
    <row r="289" spans="1:10" x14ac:dyDescent="0.4">
      <c r="A289" s="22" t="s">
        <v>5</v>
      </c>
      <c r="B289" s="26">
        <v>4.83</v>
      </c>
      <c r="C289" s="20">
        <v>0.95599999999999996</v>
      </c>
      <c r="D289" s="18">
        <f>C289/C290</f>
        <v>0.12415584415584414</v>
      </c>
      <c r="E289" s="29"/>
      <c r="F289" s="29"/>
      <c r="G289" s="28"/>
      <c r="H289" s="20"/>
      <c r="I289" s="20"/>
      <c r="J289" s="34"/>
    </row>
    <row r="290" spans="1:10" ht="15" thickBot="1" x14ac:dyDescent="0.45">
      <c r="A290" s="22" t="s">
        <v>4</v>
      </c>
      <c r="B290" s="30">
        <v>6.2119999999999997</v>
      </c>
      <c r="C290" s="31">
        <v>7.7</v>
      </c>
      <c r="D290" s="31"/>
      <c r="E290" s="32"/>
      <c r="F290" s="32"/>
      <c r="G290" s="36">
        <f>C290/(C288+C289+C290)</f>
        <v>1.9934965411540533E-2</v>
      </c>
      <c r="H290" s="20"/>
      <c r="I290" s="20"/>
      <c r="J290" s="34"/>
    </row>
    <row r="291" spans="1:10" ht="15" thickBot="1" x14ac:dyDescent="0.45">
      <c r="A291" s="1" t="s">
        <v>118</v>
      </c>
      <c r="B291" s="33"/>
      <c r="C291" s="33"/>
      <c r="D291" s="33"/>
      <c r="E291" s="33"/>
      <c r="F291" s="33"/>
      <c r="G291" s="1"/>
      <c r="H291" s="1"/>
      <c r="I291" s="1"/>
      <c r="J291" s="34"/>
    </row>
    <row r="292" spans="1:10" x14ac:dyDescent="0.4">
      <c r="A292" t="s">
        <v>0</v>
      </c>
      <c r="B292" s="23" t="s">
        <v>2</v>
      </c>
      <c r="C292" s="24" t="s">
        <v>1</v>
      </c>
      <c r="D292" s="24" t="s">
        <v>11</v>
      </c>
      <c r="E292" s="8" t="s">
        <v>7</v>
      </c>
      <c r="F292" s="25" t="s">
        <v>47</v>
      </c>
      <c r="G292" s="22" t="s">
        <v>12</v>
      </c>
      <c r="H292" s="15" t="s">
        <v>8</v>
      </c>
      <c r="I292" s="15" t="s">
        <v>7</v>
      </c>
      <c r="J292" s="15"/>
    </row>
    <row r="293" spans="1:10" x14ac:dyDescent="0.4">
      <c r="A293" t="s">
        <v>3</v>
      </c>
      <c r="B293" s="13">
        <v>3.1</v>
      </c>
      <c r="C293" s="20">
        <v>1370.3</v>
      </c>
      <c r="D293" s="5">
        <f>C293/C295</f>
        <v>46.928082191780824</v>
      </c>
      <c r="E293" s="29">
        <f>(D294+0.0045)/0.0056</f>
        <v>66.850538160469668</v>
      </c>
      <c r="F293" s="29">
        <f>(E293*120.15)/1000</f>
        <v>8.0320921599804311</v>
      </c>
      <c r="G293" s="35">
        <f>(C294/(C293+C294))</f>
        <v>7.8198537397726458E-3</v>
      </c>
      <c r="H293" s="19">
        <f>((G293*1000)/1.1)</f>
        <v>7.1089579452478597</v>
      </c>
      <c r="I293" s="19">
        <f>(H293/120.15)*1000</f>
        <v>59.167357014131163</v>
      </c>
      <c r="J293" s="15"/>
    </row>
    <row r="294" spans="1:10" x14ac:dyDescent="0.4">
      <c r="A294" t="s">
        <v>5</v>
      </c>
      <c r="B294" s="13">
        <v>4.83</v>
      </c>
      <c r="C294" s="20">
        <v>10.8</v>
      </c>
      <c r="D294" s="19">
        <f>C294/C295</f>
        <v>0.36986301369863017</v>
      </c>
      <c r="E294" s="9"/>
      <c r="F294" s="29"/>
      <c r="G294" s="28"/>
      <c r="H294" s="20"/>
      <c r="I294" s="20"/>
      <c r="J294" s="15"/>
    </row>
    <row r="295" spans="1:10" ht="15" thickBot="1" x14ac:dyDescent="0.45">
      <c r="A295" t="s">
        <v>4</v>
      </c>
      <c r="B295" s="14">
        <v>6.2119999999999997</v>
      </c>
      <c r="C295" s="11">
        <v>29.2</v>
      </c>
      <c r="D295" s="11"/>
      <c r="E295" s="16"/>
      <c r="F295" s="32"/>
      <c r="G295" s="36">
        <f>C295/(C293+C294+C295)</f>
        <v>2.0704814578458484E-2</v>
      </c>
      <c r="H295" s="20"/>
      <c r="I295" s="20"/>
      <c r="J295" s="15"/>
    </row>
    <row r="296" spans="1:10" ht="15" thickBot="1" x14ac:dyDescent="0.45">
      <c r="A296" s="1" t="s">
        <v>119</v>
      </c>
      <c r="B296" s="33"/>
      <c r="C296" s="33"/>
      <c r="D296" s="33"/>
      <c r="E296" s="33"/>
      <c r="F296" s="33"/>
      <c r="G296" s="1"/>
      <c r="H296" s="1"/>
      <c r="I296" s="1"/>
      <c r="J296" s="34"/>
    </row>
    <row r="297" spans="1:10" x14ac:dyDescent="0.4">
      <c r="A297" t="s">
        <v>0</v>
      </c>
      <c r="B297" s="23" t="s">
        <v>2</v>
      </c>
      <c r="C297" s="24" t="s">
        <v>1</v>
      </c>
      <c r="D297" s="24" t="s">
        <v>11</v>
      </c>
      <c r="E297" s="8" t="s">
        <v>7</v>
      </c>
      <c r="F297" s="25" t="s">
        <v>47</v>
      </c>
      <c r="G297" s="22" t="s">
        <v>12</v>
      </c>
      <c r="H297" s="15" t="s">
        <v>8</v>
      </c>
      <c r="I297" s="15" t="s">
        <v>7</v>
      </c>
      <c r="J297" s="15"/>
    </row>
    <row r="298" spans="1:10" x14ac:dyDescent="0.4">
      <c r="A298" t="s">
        <v>3</v>
      </c>
      <c r="B298" s="13">
        <v>3.1</v>
      </c>
      <c r="C298" s="20">
        <v>1425.4</v>
      </c>
      <c r="D298" s="5">
        <f>C298/C300</f>
        <v>50.0140350877193</v>
      </c>
      <c r="E298" s="29">
        <f>(D299+0.0045)/0.0056</f>
        <v>56.442669172932334</v>
      </c>
      <c r="F298" s="29">
        <f>(E298*120.15)/1000</f>
        <v>6.7815867011278206</v>
      </c>
      <c r="G298" s="35">
        <f>(C299/(C298+C299))</f>
        <v>6.1912597261343663E-3</v>
      </c>
      <c r="H298" s="19">
        <f>((G298*1000)/1.1)</f>
        <v>5.6284179328494233</v>
      </c>
      <c r="I298" s="19">
        <f>(H298/120.15)*1000</f>
        <v>46.844926615475849</v>
      </c>
      <c r="J298" s="15"/>
    </row>
    <row r="299" spans="1:10" x14ac:dyDescent="0.4">
      <c r="A299" t="s">
        <v>5</v>
      </c>
      <c r="B299" s="13">
        <v>4.83</v>
      </c>
      <c r="C299" s="20">
        <v>8.8800000000000008</v>
      </c>
      <c r="D299" s="19">
        <f>C299/C300</f>
        <v>0.31157894736842107</v>
      </c>
      <c r="E299" s="9"/>
      <c r="F299" s="29"/>
      <c r="G299" s="28"/>
      <c r="H299" s="20"/>
      <c r="I299" s="20"/>
      <c r="J299" s="15"/>
    </row>
    <row r="300" spans="1:10" ht="15" thickBot="1" x14ac:dyDescent="0.45">
      <c r="A300" t="s">
        <v>4</v>
      </c>
      <c r="B300" s="14">
        <v>6.2119999999999997</v>
      </c>
      <c r="C300" s="11">
        <v>28.5</v>
      </c>
      <c r="D300" s="11"/>
      <c r="E300" s="16"/>
      <c r="F300" s="32"/>
      <c r="G300" s="36">
        <f>C300/(C298+C299+C300)</f>
        <v>1.9483449322522866E-2</v>
      </c>
      <c r="H300" s="20"/>
      <c r="I300" s="20"/>
      <c r="J300" s="15"/>
    </row>
    <row r="301" spans="1:10" ht="15" thickBot="1" x14ac:dyDescent="0.45">
      <c r="A301" s="1" t="s">
        <v>120</v>
      </c>
      <c r="B301" s="1"/>
      <c r="C301" s="1"/>
      <c r="D301" s="1"/>
      <c r="E301" s="1"/>
      <c r="F301" s="1"/>
      <c r="G301" s="1"/>
      <c r="H301" s="1"/>
      <c r="I301" s="1"/>
      <c r="J301" s="21"/>
    </row>
    <row r="302" spans="1:10" x14ac:dyDescent="0.4">
      <c r="A302" s="22" t="s">
        <v>0</v>
      </c>
      <c r="B302" s="23" t="s">
        <v>2</v>
      </c>
      <c r="C302" s="24" t="s">
        <v>1</v>
      </c>
      <c r="D302" s="24" t="s">
        <v>11</v>
      </c>
      <c r="E302" s="8" t="s">
        <v>7</v>
      </c>
      <c r="F302" s="25" t="s">
        <v>47</v>
      </c>
      <c r="G302" s="22" t="s">
        <v>12</v>
      </c>
      <c r="H302" s="15" t="s">
        <v>8</v>
      </c>
      <c r="I302" s="15" t="s">
        <v>7</v>
      </c>
      <c r="J302" s="20"/>
    </row>
    <row r="303" spans="1:10" x14ac:dyDescent="0.4">
      <c r="A303" s="22" t="s">
        <v>3</v>
      </c>
      <c r="B303" s="26">
        <v>3.1</v>
      </c>
      <c r="C303" s="27">
        <v>368.2</v>
      </c>
      <c r="D303" s="28">
        <f>C303/C305</f>
        <v>46.607594936708857</v>
      </c>
      <c r="E303" s="29">
        <f>(D304+0.0045)/0.0056</f>
        <v>21.147151898734176</v>
      </c>
      <c r="F303" s="29">
        <f>(E303*120.15)/1000</f>
        <v>2.5408303006329116</v>
      </c>
      <c r="G303" s="35">
        <f>(C304/(C303+C304))</f>
        <v>2.438363587103766E-3</v>
      </c>
      <c r="H303" s="19">
        <f>((G303*1000)/1.1)</f>
        <v>2.2166941700943323</v>
      </c>
      <c r="I303" s="19">
        <f>(H303/120.15)*1000</f>
        <v>18.449389680352326</v>
      </c>
      <c r="J303" s="20"/>
    </row>
    <row r="304" spans="1:10" x14ac:dyDescent="0.4">
      <c r="A304" s="22" t="s">
        <v>5</v>
      </c>
      <c r="B304" s="26">
        <v>4.83</v>
      </c>
      <c r="C304" s="27">
        <v>0.9</v>
      </c>
      <c r="D304" s="18">
        <f>C304/C305</f>
        <v>0.11392405063291139</v>
      </c>
      <c r="E304" s="29"/>
      <c r="F304" s="29"/>
      <c r="G304" s="28"/>
      <c r="H304" s="20"/>
      <c r="I304" s="20"/>
      <c r="J304" s="20"/>
    </row>
    <row r="305" spans="1:10" ht="15" thickBot="1" x14ac:dyDescent="0.45">
      <c r="A305" s="22" t="s">
        <v>4</v>
      </c>
      <c r="B305" s="30">
        <v>6.2119999999999997</v>
      </c>
      <c r="C305" s="31">
        <v>7.9</v>
      </c>
      <c r="D305" s="31"/>
      <c r="E305" s="32"/>
      <c r="F305" s="32"/>
      <c r="G305" s="36">
        <f>C305/(C303+C304+C305)</f>
        <v>2.0954907161803718E-2</v>
      </c>
      <c r="H305" s="20"/>
      <c r="I305" s="20"/>
      <c r="J305" s="20"/>
    </row>
    <row r="306" spans="1:10" ht="15" thickBot="1" x14ac:dyDescent="0.45">
      <c r="A306" s="1" t="s">
        <v>121</v>
      </c>
      <c r="B306" s="33"/>
      <c r="C306" s="33"/>
      <c r="D306" s="33"/>
      <c r="E306" s="33"/>
      <c r="F306" s="33"/>
      <c r="G306" s="1"/>
      <c r="H306" s="1"/>
      <c r="I306" s="1"/>
      <c r="J306" s="34"/>
    </row>
    <row r="307" spans="1:10" x14ac:dyDescent="0.4">
      <c r="A307" s="22" t="s">
        <v>0</v>
      </c>
      <c r="B307" s="23" t="s">
        <v>2</v>
      </c>
      <c r="C307" s="24" t="s">
        <v>1</v>
      </c>
      <c r="D307" s="24" t="s">
        <v>11</v>
      </c>
      <c r="E307" s="8" t="s">
        <v>7</v>
      </c>
      <c r="F307" s="25" t="s">
        <v>47</v>
      </c>
      <c r="G307" s="22" t="s">
        <v>12</v>
      </c>
      <c r="H307" s="15" t="s">
        <v>8</v>
      </c>
      <c r="I307" s="15" t="s">
        <v>7</v>
      </c>
      <c r="J307" s="34"/>
    </row>
    <row r="308" spans="1:10" x14ac:dyDescent="0.4">
      <c r="A308" s="22" t="s">
        <v>3</v>
      </c>
      <c r="B308" s="26">
        <v>3.14</v>
      </c>
      <c r="C308" s="20">
        <v>1617.8</v>
      </c>
      <c r="D308" s="28">
        <f>C308/C310</f>
        <v>49.474006116207946</v>
      </c>
      <c r="E308" s="29">
        <f>(D309+0.0045)/0.0056</f>
        <v>25.377621231979028</v>
      </c>
      <c r="F308" s="29">
        <f>(E308*120.15)/1000</f>
        <v>3.0491211910222806</v>
      </c>
      <c r="G308" s="35">
        <f>(C309/(C308+C309))</f>
        <v>2.7738396104296371E-3</v>
      </c>
      <c r="H308" s="19">
        <f>((G308*1000)/1.1)</f>
        <v>2.5216723731178519</v>
      </c>
      <c r="I308" s="19">
        <f>(H308/120.15)*1000</f>
        <v>20.987701815379538</v>
      </c>
      <c r="J308" s="34"/>
    </row>
    <row r="309" spans="1:10" x14ac:dyDescent="0.4">
      <c r="A309" s="22" t="s">
        <v>5</v>
      </c>
      <c r="B309" s="26">
        <v>4.83</v>
      </c>
      <c r="C309" s="20">
        <v>4.5</v>
      </c>
      <c r="D309" s="18">
        <f>C309/C310</f>
        <v>0.13761467889908255</v>
      </c>
      <c r="E309" s="29"/>
      <c r="F309" s="29"/>
      <c r="G309" s="28"/>
      <c r="H309" s="20"/>
      <c r="I309" s="20"/>
      <c r="J309" s="34"/>
    </row>
    <row r="310" spans="1:10" ht="15" thickBot="1" x14ac:dyDescent="0.45">
      <c r="A310" s="22" t="s">
        <v>4</v>
      </c>
      <c r="B310" s="30">
        <v>6.2119999999999997</v>
      </c>
      <c r="C310" s="31">
        <v>32.700000000000003</v>
      </c>
      <c r="D310" s="31"/>
      <c r="E310" s="32"/>
      <c r="F310" s="32"/>
      <c r="G310" s="36">
        <f>C310/(C308+C309+C310)</f>
        <v>1.97583081570997E-2</v>
      </c>
      <c r="H310" s="20"/>
      <c r="I310" s="20"/>
      <c r="J310" s="34"/>
    </row>
    <row r="311" spans="1:10" x14ac:dyDescent="0.4">
      <c r="A311" s="3" t="s">
        <v>13</v>
      </c>
      <c r="B311" s="3"/>
      <c r="C311" s="3"/>
      <c r="D311" s="3"/>
      <c r="E311" s="3"/>
      <c r="F311" s="3"/>
      <c r="G311" s="3"/>
      <c r="H311" s="3"/>
      <c r="I311" s="3"/>
      <c r="J311" s="3"/>
    </row>
    <row r="312" spans="1:10" ht="15" thickBot="1" x14ac:dyDescent="0.45">
      <c r="A312" s="1" t="s">
        <v>122</v>
      </c>
      <c r="B312" s="1"/>
      <c r="C312" s="1"/>
      <c r="D312" s="1"/>
      <c r="E312" s="1"/>
      <c r="F312" s="1"/>
      <c r="G312" s="1"/>
      <c r="H312" s="1"/>
      <c r="I312" s="1"/>
      <c r="J312" s="21"/>
    </row>
    <row r="313" spans="1:10" x14ac:dyDescent="0.4">
      <c r="A313" s="22" t="s">
        <v>0</v>
      </c>
      <c r="B313" s="23" t="s">
        <v>2</v>
      </c>
      <c r="C313" s="24" t="s">
        <v>1</v>
      </c>
      <c r="D313" s="24" t="s">
        <v>11</v>
      </c>
      <c r="E313" s="7" t="s">
        <v>7</v>
      </c>
      <c r="F313" s="41" t="s">
        <v>47</v>
      </c>
      <c r="G313" s="22" t="s">
        <v>12</v>
      </c>
      <c r="H313" s="15" t="s">
        <v>8</v>
      </c>
      <c r="I313" s="15" t="s">
        <v>7</v>
      </c>
      <c r="J313" s="20"/>
    </row>
    <row r="314" spans="1:10" x14ac:dyDescent="0.4">
      <c r="A314" s="22" t="s">
        <v>3</v>
      </c>
      <c r="B314" s="26">
        <v>3.1</v>
      </c>
      <c r="C314" s="27">
        <v>1453.6</v>
      </c>
      <c r="D314" s="28">
        <f>C314/C316</f>
        <v>44.182370820668694</v>
      </c>
      <c r="E314" s="29">
        <f>(D315+0.0045)/0.0056</f>
        <v>90.903441163699512</v>
      </c>
      <c r="F314" s="42">
        <f>(E314*120.15)/1000</f>
        <v>10.922048455818496</v>
      </c>
      <c r="G314" s="35">
        <f>(C315/(C314+C315))</f>
        <v>1.1290980818936201E-2</v>
      </c>
      <c r="H314" s="19">
        <f>((G314*1000)/1.1)</f>
        <v>10.264528017214728</v>
      </c>
      <c r="I314" s="19">
        <f>(H314/120.15)*1000</f>
        <v>85.430944795794645</v>
      </c>
      <c r="J314" s="20"/>
    </row>
    <row r="315" spans="1:10" x14ac:dyDescent="0.4">
      <c r="A315" s="22" t="s">
        <v>5</v>
      </c>
      <c r="B315" s="26">
        <v>4.83</v>
      </c>
      <c r="C315" s="27">
        <v>16.600000000000001</v>
      </c>
      <c r="D315" s="18">
        <f>C315/C316</f>
        <v>0.50455927051671734</v>
      </c>
      <c r="E315" s="27"/>
      <c r="F315" s="42"/>
      <c r="G315" s="28"/>
      <c r="H315" s="20"/>
      <c r="I315" s="20"/>
      <c r="J315" s="20"/>
    </row>
    <row r="316" spans="1:10" ht="15" thickBot="1" x14ac:dyDescent="0.45">
      <c r="A316" s="22" t="s">
        <v>4</v>
      </c>
      <c r="B316" s="30">
        <v>6.2119999999999997</v>
      </c>
      <c r="C316" s="31">
        <v>32.9</v>
      </c>
      <c r="D316" s="31"/>
      <c r="E316" s="40"/>
      <c r="F316" s="43"/>
      <c r="G316" s="36">
        <f>C316/(C314+C315+C316)</f>
        <v>2.1888097930942717E-2</v>
      </c>
      <c r="H316" s="20"/>
      <c r="I316" s="20"/>
      <c r="J316" s="20"/>
    </row>
    <row r="317" spans="1:10" ht="15" thickBot="1" x14ac:dyDescent="0.45">
      <c r="A317" s="1" t="s">
        <v>123</v>
      </c>
      <c r="B317" s="33"/>
      <c r="C317" s="33"/>
      <c r="D317" s="33"/>
      <c r="E317" s="33"/>
      <c r="F317" s="33"/>
      <c r="G317" s="1"/>
      <c r="H317" s="1"/>
      <c r="I317" s="1"/>
      <c r="J317" s="34"/>
    </row>
    <row r="318" spans="1:10" x14ac:dyDescent="0.4">
      <c r="A318" s="22" t="s">
        <v>0</v>
      </c>
      <c r="B318" s="23" t="s">
        <v>2</v>
      </c>
      <c r="C318" s="24" t="s">
        <v>1</v>
      </c>
      <c r="D318" s="24" t="s">
        <v>11</v>
      </c>
      <c r="E318" s="8" t="s">
        <v>7</v>
      </c>
      <c r="F318" s="25" t="s">
        <v>47</v>
      </c>
      <c r="G318" s="22" t="s">
        <v>12</v>
      </c>
      <c r="H318" s="15" t="s">
        <v>8</v>
      </c>
      <c r="I318" s="15" t="s">
        <v>7</v>
      </c>
      <c r="J318" s="34"/>
    </row>
    <row r="319" spans="1:10" x14ac:dyDescent="0.4">
      <c r="A319" s="22" t="s">
        <v>3</v>
      </c>
      <c r="B319" s="26">
        <v>3.14</v>
      </c>
      <c r="C319" s="20">
        <v>411.2</v>
      </c>
      <c r="D319" s="28">
        <f>C319/C321</f>
        <v>47.813953488372093</v>
      </c>
      <c r="E319" s="29">
        <f>(D320+0.0045)/0.0056</f>
        <v>35.479651162790702</v>
      </c>
      <c r="F319" s="29">
        <f>(E319*120.15)/1000</f>
        <v>4.2628800872093038</v>
      </c>
      <c r="G319" s="35">
        <f>(C320/(C319+C320))</f>
        <v>4.0448567345653594E-3</v>
      </c>
      <c r="H319" s="19">
        <f>((G319*1000)/1.1)</f>
        <v>3.677142485968508</v>
      </c>
      <c r="I319" s="19">
        <f>(H319/120.15)*1000</f>
        <v>30.604598301860239</v>
      </c>
      <c r="J319" s="34"/>
    </row>
    <row r="320" spans="1:10" x14ac:dyDescent="0.4">
      <c r="A320" s="22" t="s">
        <v>5</v>
      </c>
      <c r="B320" s="26">
        <v>4.83</v>
      </c>
      <c r="C320" s="20">
        <v>1.67</v>
      </c>
      <c r="D320" s="18">
        <f>C320/C321</f>
        <v>0.19418604651162791</v>
      </c>
      <c r="E320" s="29"/>
      <c r="F320" s="29"/>
      <c r="G320" s="28"/>
      <c r="H320" s="20"/>
      <c r="I320" s="20"/>
      <c r="J320" s="34"/>
    </row>
    <row r="321" spans="1:10" ht="15" thickBot="1" x14ac:dyDescent="0.45">
      <c r="A321" s="22" t="s">
        <v>4</v>
      </c>
      <c r="B321" s="30">
        <v>6.2119999999999997</v>
      </c>
      <c r="C321" s="31">
        <v>8.6</v>
      </c>
      <c r="D321" s="31"/>
      <c r="E321" s="32"/>
      <c r="F321" s="32"/>
      <c r="G321" s="36">
        <f>C321/(C319+C320+C321)</f>
        <v>2.0404773768002465E-2</v>
      </c>
      <c r="H321" s="20"/>
      <c r="I321" s="20"/>
      <c r="J321" s="34"/>
    </row>
    <row r="322" spans="1:10" ht="15" thickBot="1" x14ac:dyDescent="0.45">
      <c r="A322" s="1" t="s">
        <v>124</v>
      </c>
      <c r="B322" s="33"/>
      <c r="C322" s="33"/>
      <c r="D322" s="33"/>
      <c r="E322" s="33"/>
      <c r="F322" s="33"/>
      <c r="G322" s="1"/>
      <c r="H322" s="1"/>
      <c r="I322" s="1"/>
      <c r="J322" s="34"/>
    </row>
    <row r="323" spans="1:10" x14ac:dyDescent="0.4">
      <c r="A323" t="s">
        <v>0</v>
      </c>
      <c r="B323" s="23" t="s">
        <v>2</v>
      </c>
      <c r="C323" s="24" t="s">
        <v>1</v>
      </c>
      <c r="D323" s="24" t="s">
        <v>11</v>
      </c>
      <c r="E323" s="8" t="s">
        <v>7</v>
      </c>
      <c r="F323" s="25" t="s">
        <v>47</v>
      </c>
      <c r="G323" s="22" t="s">
        <v>12</v>
      </c>
      <c r="H323" s="15" t="s">
        <v>8</v>
      </c>
      <c r="I323" s="15" t="s">
        <v>7</v>
      </c>
      <c r="J323" s="15"/>
    </row>
    <row r="324" spans="1:10" x14ac:dyDescent="0.4">
      <c r="A324" t="s">
        <v>3</v>
      </c>
      <c r="B324" s="13">
        <v>3.1</v>
      </c>
      <c r="C324" s="20">
        <v>1303.4000000000001</v>
      </c>
      <c r="D324" s="5">
        <f>C324/C326</f>
        <v>46.550000000000004</v>
      </c>
      <c r="E324" s="29">
        <f>(D325+0.0045)/0.0056</f>
        <v>76.696428571428569</v>
      </c>
      <c r="F324" s="29">
        <f>(E324*120.15)/1000</f>
        <v>9.2150758928571435</v>
      </c>
      <c r="G324" s="35">
        <f>(C325/(C324+C325))</f>
        <v>9.0473656200106434E-3</v>
      </c>
      <c r="H324" s="19">
        <f>((G324*1000)/1.1)</f>
        <v>8.2248778363733113</v>
      </c>
      <c r="I324" s="19">
        <f>(H324/120.15)*1000</f>
        <v>68.455079786710868</v>
      </c>
      <c r="J324" s="15"/>
    </row>
    <row r="325" spans="1:10" x14ac:dyDescent="0.4">
      <c r="A325" t="s">
        <v>5</v>
      </c>
      <c r="B325" s="13">
        <v>4.83</v>
      </c>
      <c r="C325" s="20">
        <v>11.9</v>
      </c>
      <c r="D325" s="19">
        <f>C325/C326</f>
        <v>0.42499999999999999</v>
      </c>
      <c r="E325" s="9"/>
      <c r="F325" s="29"/>
      <c r="G325" s="28"/>
      <c r="H325" s="20"/>
      <c r="I325" s="20"/>
      <c r="J325" s="15"/>
    </row>
    <row r="326" spans="1:10" ht="15" thickBot="1" x14ac:dyDescent="0.45">
      <c r="A326" t="s">
        <v>4</v>
      </c>
      <c r="B326" s="14">
        <v>6.2119999999999997</v>
      </c>
      <c r="C326" s="11">
        <v>28</v>
      </c>
      <c r="D326" s="11"/>
      <c r="E326" s="16"/>
      <c r="F326" s="32"/>
      <c r="G326" s="36">
        <f>C326/(C324+C325+C326)</f>
        <v>2.0844189682126105E-2</v>
      </c>
      <c r="H326" s="20"/>
      <c r="I326" s="20"/>
      <c r="J326" s="15"/>
    </row>
    <row r="327" spans="1:10" ht="15" thickBot="1" x14ac:dyDescent="0.45">
      <c r="A327" s="1" t="s">
        <v>125</v>
      </c>
      <c r="B327" s="33"/>
      <c r="C327" s="33"/>
      <c r="D327" s="33"/>
      <c r="E327" s="33"/>
      <c r="F327" s="33"/>
      <c r="G327" s="1"/>
      <c r="H327" s="1"/>
      <c r="I327" s="1"/>
      <c r="J327" s="34"/>
    </row>
    <row r="328" spans="1:10" x14ac:dyDescent="0.4">
      <c r="A328" t="s">
        <v>0</v>
      </c>
      <c r="B328" s="23" t="s">
        <v>2</v>
      </c>
      <c r="C328" s="24" t="s">
        <v>1</v>
      </c>
      <c r="D328" s="24" t="s">
        <v>11</v>
      </c>
      <c r="E328" s="8" t="s">
        <v>7</v>
      </c>
      <c r="F328" s="25" t="s">
        <v>47</v>
      </c>
      <c r="G328" s="22" t="s">
        <v>12</v>
      </c>
      <c r="H328" s="15" t="s">
        <v>8</v>
      </c>
      <c r="I328" s="15" t="s">
        <v>7</v>
      </c>
      <c r="J328" s="15"/>
    </row>
    <row r="329" spans="1:10" x14ac:dyDescent="0.4">
      <c r="A329" t="s">
        <v>3</v>
      </c>
      <c r="B329" s="13">
        <v>3.1</v>
      </c>
      <c r="C329" s="20">
        <v>1361.5</v>
      </c>
      <c r="D329" s="5">
        <f>C329/C331</f>
        <v>47.439024390243901</v>
      </c>
      <c r="E329" s="29">
        <f>(D330+0.0045)/0.0056</f>
        <v>60.099240915878539</v>
      </c>
      <c r="F329" s="29">
        <f>(E329*120.15)/1000</f>
        <v>7.2209237960428077</v>
      </c>
      <c r="G329" s="35">
        <f>(C330/(C329+C330))</f>
        <v>6.9509784614486918E-3</v>
      </c>
      <c r="H329" s="19">
        <f>((G329*1000)/1.1)</f>
        <v>6.3190713285897191</v>
      </c>
      <c r="I329" s="19">
        <f>(H329/120.15)*1000</f>
        <v>52.593186255428371</v>
      </c>
      <c r="J329" s="15"/>
    </row>
    <row r="330" spans="1:10" x14ac:dyDescent="0.4">
      <c r="A330" t="s">
        <v>5</v>
      </c>
      <c r="B330" s="13">
        <v>4.83</v>
      </c>
      <c r="C330" s="20">
        <v>9.5299999999999994</v>
      </c>
      <c r="D330" s="19">
        <f>C330/C331</f>
        <v>0.33205574912891983</v>
      </c>
      <c r="E330" s="9"/>
      <c r="F330" s="29"/>
      <c r="G330" s="28"/>
      <c r="H330" s="20"/>
      <c r="I330" s="20"/>
      <c r="J330" s="15"/>
    </row>
    <row r="331" spans="1:10" ht="15" thickBot="1" x14ac:dyDescent="0.45">
      <c r="A331" t="s">
        <v>4</v>
      </c>
      <c r="B331" s="14">
        <v>6.2119999999999997</v>
      </c>
      <c r="C331" s="11">
        <v>28.7</v>
      </c>
      <c r="D331" s="11"/>
      <c r="E331" s="16"/>
      <c r="F331" s="32"/>
      <c r="G331" s="36">
        <f>C331/(C329+C330+C331)</f>
        <v>2.0503954334050136E-2</v>
      </c>
      <c r="H331" s="20"/>
      <c r="I331" s="20"/>
      <c r="J331" s="15"/>
    </row>
    <row r="332" spans="1:10" ht="15" thickBot="1" x14ac:dyDescent="0.45">
      <c r="A332" s="1" t="s">
        <v>126</v>
      </c>
      <c r="B332" s="1"/>
      <c r="C332" s="1"/>
      <c r="D332" s="1"/>
      <c r="E332" s="1"/>
      <c r="F332" s="1"/>
      <c r="G332" s="1"/>
      <c r="H332" s="1"/>
      <c r="I332" s="1"/>
      <c r="J332" s="21"/>
    </row>
    <row r="333" spans="1:10" x14ac:dyDescent="0.4">
      <c r="A333" s="22" t="s">
        <v>0</v>
      </c>
      <c r="B333" s="23" t="s">
        <v>2</v>
      </c>
      <c r="C333" s="24" t="s">
        <v>1</v>
      </c>
      <c r="D333" s="24" t="s">
        <v>11</v>
      </c>
      <c r="E333" s="8" t="s">
        <v>7</v>
      </c>
      <c r="F333" s="25" t="s">
        <v>47</v>
      </c>
      <c r="G333" s="22" t="s">
        <v>12</v>
      </c>
      <c r="H333" s="15" t="s">
        <v>8</v>
      </c>
      <c r="I333" s="15" t="s">
        <v>7</v>
      </c>
      <c r="J333" s="20"/>
    </row>
    <row r="334" spans="1:10" x14ac:dyDescent="0.4">
      <c r="A334" s="22" t="s">
        <v>3</v>
      </c>
      <c r="B334" s="26">
        <v>3.1</v>
      </c>
      <c r="C334" s="27">
        <v>296.3</v>
      </c>
      <c r="D334" s="28">
        <f>C334/C336</f>
        <v>39.506666666666668</v>
      </c>
      <c r="E334" s="29">
        <f>(D335+0.0045)/0.0056</f>
        <v>27.946428571428573</v>
      </c>
      <c r="F334" s="29">
        <f>(E334*120.15)/1000</f>
        <v>3.3577633928571431</v>
      </c>
      <c r="G334" s="35">
        <f>(C335/(C334+C335))</f>
        <v>3.8327057557826787E-3</v>
      </c>
      <c r="H334" s="19">
        <f>((G334*1000)/1.1)</f>
        <v>3.4842779598024345</v>
      </c>
      <c r="I334" s="19">
        <f>(H334/120.15)*1000</f>
        <v>28.999400414502158</v>
      </c>
      <c r="J334" s="20"/>
    </row>
    <row r="335" spans="1:10" x14ac:dyDescent="0.4">
      <c r="A335" s="22" t="s">
        <v>5</v>
      </c>
      <c r="B335" s="26">
        <v>4.83</v>
      </c>
      <c r="C335" s="27">
        <v>1.1399999999999999</v>
      </c>
      <c r="D335" s="18">
        <f>C335/C336</f>
        <v>0.152</v>
      </c>
      <c r="E335" s="29"/>
      <c r="F335" s="29"/>
      <c r="G335" s="28"/>
      <c r="H335" s="20"/>
      <c r="I335" s="20"/>
      <c r="J335" s="20"/>
    </row>
    <row r="336" spans="1:10" ht="15" thickBot="1" x14ac:dyDescent="0.45">
      <c r="A336" s="22" t="s">
        <v>4</v>
      </c>
      <c r="B336" s="30">
        <v>6.2119999999999997</v>
      </c>
      <c r="C336" s="31">
        <v>7.5</v>
      </c>
      <c r="D336" s="31"/>
      <c r="E336" s="32"/>
      <c r="F336" s="32"/>
      <c r="G336" s="36">
        <f>C336/(C334+C335+C336)</f>
        <v>2.4595002295533547E-2</v>
      </c>
      <c r="H336" s="20"/>
      <c r="I336" s="20"/>
      <c r="J336" s="20"/>
    </row>
    <row r="337" spans="1:10" ht="15" thickBot="1" x14ac:dyDescent="0.45">
      <c r="A337" s="1" t="s">
        <v>127</v>
      </c>
      <c r="B337" s="33"/>
      <c r="C337" s="33"/>
      <c r="D337" s="33"/>
      <c r="E337" s="33"/>
      <c r="F337" s="33"/>
      <c r="G337" s="1"/>
      <c r="H337" s="1"/>
      <c r="I337" s="1"/>
      <c r="J337" s="34"/>
    </row>
    <row r="338" spans="1:10" x14ac:dyDescent="0.4">
      <c r="A338" s="22" t="s">
        <v>0</v>
      </c>
      <c r="B338" s="23" t="s">
        <v>2</v>
      </c>
      <c r="C338" s="24" t="s">
        <v>1</v>
      </c>
      <c r="D338" s="24" t="s">
        <v>11</v>
      </c>
      <c r="E338" s="8" t="s">
        <v>7</v>
      </c>
      <c r="F338" s="25" t="s">
        <v>47</v>
      </c>
      <c r="G338" s="22" t="s">
        <v>12</v>
      </c>
      <c r="H338" s="15" t="s">
        <v>8</v>
      </c>
      <c r="I338" s="15" t="s">
        <v>7</v>
      </c>
      <c r="J338" s="34"/>
    </row>
    <row r="339" spans="1:10" x14ac:dyDescent="0.4">
      <c r="A339" s="22" t="s">
        <v>3</v>
      </c>
      <c r="B339" s="26">
        <v>3.14</v>
      </c>
      <c r="C339" s="20">
        <v>1298.3</v>
      </c>
      <c r="D339" s="28">
        <f>C339/C341</f>
        <v>48.625468164794007</v>
      </c>
      <c r="E339" s="29">
        <f>(D340+0.0045)/0.0056</f>
        <v>38.925561797752813</v>
      </c>
      <c r="F339" s="29">
        <f>(E339*120.15)/1000</f>
        <v>4.6769062500000009</v>
      </c>
      <c r="G339" s="35">
        <f>(C340/(C339+C340))</f>
        <v>4.3711656441717791E-3</v>
      </c>
      <c r="H339" s="19">
        <f>((G339*1000)/1.1)</f>
        <v>3.9737869492470721</v>
      </c>
      <c r="I339" s="19">
        <f>(H339/120.15)*1000</f>
        <v>33.073549307091731</v>
      </c>
      <c r="J339" s="34"/>
    </row>
    <row r="340" spans="1:10" x14ac:dyDescent="0.4">
      <c r="A340" s="22" t="s">
        <v>5</v>
      </c>
      <c r="B340" s="26">
        <v>4.83</v>
      </c>
      <c r="C340" s="20">
        <v>5.7</v>
      </c>
      <c r="D340" s="18">
        <f>C340/C341</f>
        <v>0.21348314606741575</v>
      </c>
      <c r="E340" s="29"/>
      <c r="F340" s="29"/>
      <c r="G340" s="28"/>
      <c r="H340" s="20"/>
      <c r="I340" s="20"/>
      <c r="J340" s="34"/>
    </row>
    <row r="341" spans="1:10" ht="15" thickBot="1" x14ac:dyDescent="0.45">
      <c r="A341" s="22" t="s">
        <v>4</v>
      </c>
      <c r="B341" s="30">
        <v>6.2119999999999997</v>
      </c>
      <c r="C341" s="31">
        <v>26.7</v>
      </c>
      <c r="D341" s="31"/>
      <c r="E341" s="32"/>
      <c r="F341" s="32"/>
      <c r="G341" s="36">
        <f>C341/(C339+C340+C341)</f>
        <v>2.0064627639588186E-2</v>
      </c>
      <c r="H341" s="20"/>
      <c r="I341" s="20"/>
      <c r="J341" s="34"/>
    </row>
    <row r="342" spans="1:10" x14ac:dyDescent="0.4">
      <c r="A342" s="3" t="s">
        <v>13</v>
      </c>
      <c r="B342" s="3"/>
      <c r="C342" s="3"/>
      <c r="D342" s="3"/>
      <c r="E342" s="3"/>
      <c r="F342" s="3"/>
      <c r="G342" s="3"/>
      <c r="H342" s="3"/>
      <c r="I342" s="3"/>
      <c r="J342" s="3"/>
    </row>
    <row r="343" spans="1:10" ht="15" thickBot="1" x14ac:dyDescent="0.45">
      <c r="A343" s="1" t="s">
        <v>128</v>
      </c>
      <c r="B343" s="1"/>
      <c r="C343" s="1"/>
      <c r="D343" s="1"/>
      <c r="E343" s="1"/>
      <c r="F343" s="1"/>
      <c r="G343" s="1"/>
      <c r="H343" s="1"/>
      <c r="I343" s="1"/>
      <c r="J343" s="21"/>
    </row>
    <row r="344" spans="1:10" x14ac:dyDescent="0.4">
      <c r="A344" s="22" t="s">
        <v>0</v>
      </c>
      <c r="B344" s="23" t="s">
        <v>2</v>
      </c>
      <c r="C344" s="24" t="s">
        <v>1</v>
      </c>
      <c r="D344" s="24" t="s">
        <v>11</v>
      </c>
      <c r="E344" s="7" t="s">
        <v>7</v>
      </c>
      <c r="F344" s="41" t="s">
        <v>47</v>
      </c>
      <c r="G344" s="22" t="s">
        <v>12</v>
      </c>
      <c r="H344" s="15" t="s">
        <v>8</v>
      </c>
      <c r="I344" s="15" t="s">
        <v>7</v>
      </c>
      <c r="J344" s="20"/>
    </row>
    <row r="345" spans="1:10" x14ac:dyDescent="0.4">
      <c r="A345" s="22" t="s">
        <v>3</v>
      </c>
      <c r="B345" s="26">
        <v>3.1</v>
      </c>
      <c r="C345" s="27">
        <f>1493.9</f>
        <v>1493.9</v>
      </c>
      <c r="D345" s="28">
        <f>C345/C347</f>
        <v>44.996987951807228</v>
      </c>
      <c r="E345" s="29">
        <f>(D346+0.0045)/0.0056</f>
        <v>91.16501721170394</v>
      </c>
      <c r="F345" s="42">
        <f>(E345*120.15)/1000</f>
        <v>10.95347681798623</v>
      </c>
      <c r="G345" s="35">
        <f>(C346/(C345+C346))</f>
        <v>1.1120672535910505E-2</v>
      </c>
      <c r="H345" s="19">
        <f>((G345*1000)/1.1)</f>
        <v>10.109702305373185</v>
      </c>
      <c r="I345" s="19">
        <f>(H345/120.15)*1000</f>
        <v>84.142341284837158</v>
      </c>
      <c r="J345" s="20"/>
    </row>
    <row r="346" spans="1:10" x14ac:dyDescent="0.4">
      <c r="A346" s="22" t="s">
        <v>5</v>
      </c>
      <c r="B346" s="26">
        <v>4.83</v>
      </c>
      <c r="C346" s="27">
        <v>16.8</v>
      </c>
      <c r="D346" s="18">
        <f>C346/C347</f>
        <v>0.50602409638554213</v>
      </c>
      <c r="E346" s="27"/>
      <c r="F346" s="42"/>
      <c r="G346" s="28"/>
      <c r="H346" s="20"/>
      <c r="I346" s="20"/>
      <c r="J346" s="20"/>
    </row>
    <row r="347" spans="1:10" ht="15" thickBot="1" x14ac:dyDescent="0.45">
      <c r="A347" s="22" t="s">
        <v>4</v>
      </c>
      <c r="B347" s="30">
        <v>6.2119999999999997</v>
      </c>
      <c r="C347" s="31">
        <v>33.200000000000003</v>
      </c>
      <c r="D347" s="31"/>
      <c r="E347" s="40"/>
      <c r="F347" s="43"/>
      <c r="G347" s="36">
        <f>C347/(C345+C346+C347)</f>
        <v>2.1503983418615195E-2</v>
      </c>
      <c r="H347" s="20"/>
      <c r="I347" s="20"/>
      <c r="J347" s="20"/>
    </row>
    <row r="348" spans="1:10" ht="15" thickBot="1" x14ac:dyDescent="0.45">
      <c r="A348" s="1" t="s">
        <v>129</v>
      </c>
      <c r="B348" s="33"/>
      <c r="C348" s="33"/>
      <c r="D348" s="33"/>
      <c r="E348" s="33"/>
      <c r="F348" s="33"/>
      <c r="G348" s="1"/>
      <c r="H348" s="1"/>
      <c r="I348" s="1"/>
      <c r="J348" s="34"/>
    </row>
    <row r="349" spans="1:10" x14ac:dyDescent="0.4">
      <c r="A349" s="22" t="s">
        <v>0</v>
      </c>
      <c r="B349" s="23" t="s">
        <v>2</v>
      </c>
      <c r="C349" s="24" t="s">
        <v>1</v>
      </c>
      <c r="D349" s="24" t="s">
        <v>11</v>
      </c>
      <c r="E349" s="8" t="s">
        <v>7</v>
      </c>
      <c r="F349" s="25" t="s">
        <v>47</v>
      </c>
      <c r="G349" s="22" t="s">
        <v>12</v>
      </c>
      <c r="H349" s="15" t="s">
        <v>8</v>
      </c>
      <c r="I349" s="15" t="s">
        <v>7</v>
      </c>
      <c r="J349" s="34"/>
    </row>
    <row r="350" spans="1:10" x14ac:dyDescent="0.4">
      <c r="A350" s="22" t="s">
        <v>3</v>
      </c>
      <c r="B350" s="26">
        <v>3.14</v>
      </c>
      <c r="C350" s="20">
        <v>406.7</v>
      </c>
      <c r="D350" s="28">
        <f>C350/C352</f>
        <v>47.847058823529409</v>
      </c>
      <c r="E350" s="29">
        <f>(D351+0.0045)/0.0056</f>
        <v>37.988445378151262</v>
      </c>
      <c r="F350" s="29">
        <f>(E350*120.15)/1000</f>
        <v>4.5643117121848746</v>
      </c>
      <c r="G350" s="35">
        <f>(C351/(C350+C351))</f>
        <v>4.3332435674590551E-3</v>
      </c>
      <c r="H350" s="19">
        <f>((G350*1000)/1.1)</f>
        <v>3.9393123340536862</v>
      </c>
      <c r="I350" s="19">
        <f>(H350/120.15)*1000</f>
        <v>32.786619509393972</v>
      </c>
      <c r="J350" s="34"/>
    </row>
    <row r="351" spans="1:10" x14ac:dyDescent="0.4">
      <c r="A351" s="22" t="s">
        <v>5</v>
      </c>
      <c r="B351" s="26">
        <v>4.83</v>
      </c>
      <c r="C351" s="20">
        <v>1.77</v>
      </c>
      <c r="D351" s="18">
        <f>C351/C352</f>
        <v>0.20823529411764707</v>
      </c>
      <c r="E351" s="29"/>
      <c r="F351" s="29"/>
      <c r="G351" s="28"/>
      <c r="H351" s="20"/>
      <c r="I351" s="20"/>
      <c r="J351" s="34"/>
    </row>
    <row r="352" spans="1:10" ht="15" thickBot="1" x14ac:dyDescent="0.45">
      <c r="A352" s="22" t="s">
        <v>4</v>
      </c>
      <c r="B352" s="30">
        <v>6.2119999999999997</v>
      </c>
      <c r="C352" s="31">
        <v>8.5</v>
      </c>
      <c r="D352" s="31"/>
      <c r="E352" s="32"/>
      <c r="F352" s="32"/>
      <c r="G352" s="36">
        <f>C352/(C350+C351+C352)</f>
        <v>2.038515960380843E-2</v>
      </c>
      <c r="H352" s="20"/>
      <c r="I352" s="20"/>
      <c r="J352" s="34"/>
    </row>
    <row r="353" spans="1:10" ht="15" thickBot="1" x14ac:dyDescent="0.45">
      <c r="A353" s="1" t="s">
        <v>130</v>
      </c>
      <c r="B353" s="33"/>
      <c r="C353" s="33"/>
      <c r="D353" s="33"/>
      <c r="E353" s="33"/>
      <c r="F353" s="33"/>
      <c r="G353" s="1"/>
      <c r="H353" s="1"/>
      <c r="I353" s="1"/>
      <c r="J353" s="34"/>
    </row>
    <row r="354" spans="1:10" x14ac:dyDescent="0.4">
      <c r="A354" t="s">
        <v>0</v>
      </c>
      <c r="B354" s="23" t="s">
        <v>2</v>
      </c>
      <c r="C354" s="24" t="s">
        <v>1</v>
      </c>
      <c r="D354" s="24" t="s">
        <v>11</v>
      </c>
      <c r="E354" s="8" t="s">
        <v>7</v>
      </c>
      <c r="F354" s="25" t="s">
        <v>47</v>
      </c>
      <c r="G354" s="22" t="s">
        <v>12</v>
      </c>
      <c r="H354" s="15" t="s">
        <v>8</v>
      </c>
      <c r="I354" s="15" t="s">
        <v>7</v>
      </c>
      <c r="J354" s="15"/>
    </row>
    <row r="355" spans="1:10" x14ac:dyDescent="0.4">
      <c r="A355" t="s">
        <v>3</v>
      </c>
      <c r="B355" s="13">
        <v>3.1</v>
      </c>
      <c r="C355" s="20">
        <v>1462.4</v>
      </c>
      <c r="D355" s="5">
        <f>C355/C357</f>
        <v>47.635179153094469</v>
      </c>
      <c r="E355" s="29">
        <f>(D356+0.0045)/0.0056</f>
        <v>75.838471382038165</v>
      </c>
      <c r="F355" s="29">
        <f>(E355*120.15)/1000</f>
        <v>9.1119923365518858</v>
      </c>
      <c r="G355" s="35">
        <f>(C356/(C355+C356))</f>
        <v>8.7439842743848705E-3</v>
      </c>
      <c r="H355" s="19">
        <f>((G355*1000)/1.1)</f>
        <v>7.9490766130771533</v>
      </c>
      <c r="I355" s="19">
        <f>(H355/120.15)*1000</f>
        <v>66.159605601973794</v>
      </c>
      <c r="J355" s="15"/>
    </row>
    <row r="356" spans="1:10" x14ac:dyDescent="0.4">
      <c r="A356" t="s">
        <v>5</v>
      </c>
      <c r="B356" s="13">
        <v>4.83</v>
      </c>
      <c r="C356" s="20">
        <v>12.9</v>
      </c>
      <c r="D356" s="19">
        <f>C356/C357</f>
        <v>0.4201954397394137</v>
      </c>
      <c r="E356" s="9"/>
      <c r="F356" s="29"/>
      <c r="G356" s="28"/>
      <c r="H356" s="20"/>
      <c r="I356" s="20"/>
      <c r="J356" s="15"/>
    </row>
    <row r="357" spans="1:10" ht="15" thickBot="1" x14ac:dyDescent="0.45">
      <c r="A357" t="s">
        <v>4</v>
      </c>
      <c r="B357" s="14">
        <v>6.2119999999999997</v>
      </c>
      <c r="C357" s="11">
        <v>30.7</v>
      </c>
      <c r="D357" s="11"/>
      <c r="E357" s="16"/>
      <c r="F357" s="32"/>
      <c r="G357" s="36">
        <f>C357/(C355+C356+C357)</f>
        <v>2.0385126162018589E-2</v>
      </c>
      <c r="H357" s="20"/>
      <c r="I357" s="20"/>
      <c r="J357" s="15"/>
    </row>
    <row r="358" spans="1:10" ht="15" thickBot="1" x14ac:dyDescent="0.45">
      <c r="A358" s="1" t="s">
        <v>131</v>
      </c>
      <c r="B358" s="33"/>
      <c r="C358" s="33"/>
      <c r="D358" s="33"/>
      <c r="E358" s="33"/>
      <c r="F358" s="33"/>
      <c r="G358" s="1"/>
      <c r="H358" s="1"/>
      <c r="I358" s="1"/>
      <c r="J358" s="34"/>
    </row>
    <row r="359" spans="1:10" x14ac:dyDescent="0.4">
      <c r="A359" t="s">
        <v>0</v>
      </c>
      <c r="B359" s="23" t="s">
        <v>2</v>
      </c>
      <c r="C359" s="24" t="s">
        <v>1</v>
      </c>
      <c r="D359" s="24" t="s">
        <v>11</v>
      </c>
      <c r="E359" s="8" t="s">
        <v>7</v>
      </c>
      <c r="F359" s="25" t="s">
        <v>47</v>
      </c>
      <c r="G359" s="22" t="s">
        <v>12</v>
      </c>
      <c r="H359" s="15" t="s">
        <v>8</v>
      </c>
      <c r="I359" s="15" t="s">
        <v>7</v>
      </c>
      <c r="J359" s="15"/>
    </row>
    <row r="360" spans="1:10" x14ac:dyDescent="0.4">
      <c r="A360" t="s">
        <v>3</v>
      </c>
      <c r="B360" s="13">
        <v>3.1</v>
      </c>
      <c r="C360" s="20">
        <v>952.8</v>
      </c>
      <c r="D360" s="5">
        <f>C360/C362</f>
        <v>46.935960591133004</v>
      </c>
      <c r="E360" s="29">
        <f>(D361+0.0045)/0.0056</f>
        <v>59.565007037297676</v>
      </c>
      <c r="F360" s="29">
        <f>(E360*120.15)/1000</f>
        <v>7.1567355955313161</v>
      </c>
      <c r="G360" s="35">
        <f>(C361/(C360+C361))</f>
        <v>6.9621044732563475E-3</v>
      </c>
      <c r="H360" s="19">
        <f>((G360*1000)/1.1)</f>
        <v>6.3291858847784974</v>
      </c>
      <c r="I360" s="19">
        <f>(H360/120.15)*1000</f>
        <v>52.677368995243427</v>
      </c>
      <c r="J360" s="15"/>
    </row>
    <row r="361" spans="1:10" x14ac:dyDescent="0.4">
      <c r="A361" t="s">
        <v>5</v>
      </c>
      <c r="B361" s="13">
        <v>4.83</v>
      </c>
      <c r="C361" s="20">
        <v>6.68</v>
      </c>
      <c r="D361" s="19">
        <f>C361/C362</f>
        <v>0.32906403940886697</v>
      </c>
      <c r="E361" s="9"/>
      <c r="F361" s="29"/>
      <c r="G361" s="28"/>
      <c r="H361" s="20"/>
      <c r="I361" s="20"/>
      <c r="J361" s="15"/>
    </row>
    <row r="362" spans="1:10" ht="15" thickBot="1" x14ac:dyDescent="0.45">
      <c r="A362" t="s">
        <v>4</v>
      </c>
      <c r="B362" s="14">
        <v>6.2119999999999997</v>
      </c>
      <c r="C362" s="11">
        <v>20.3</v>
      </c>
      <c r="D362" s="11"/>
      <c r="E362" s="16"/>
      <c r="F362" s="32"/>
      <c r="G362" s="36">
        <f>C362/(C360+C361+C362)</f>
        <v>2.0718936904202987E-2</v>
      </c>
      <c r="H362" s="20"/>
      <c r="I362" s="20"/>
      <c r="J362" s="15"/>
    </row>
    <row r="363" spans="1:10" ht="15" thickBot="1" x14ac:dyDescent="0.45">
      <c r="A363" s="1" t="s">
        <v>132</v>
      </c>
      <c r="B363" s="1"/>
      <c r="C363" s="1"/>
      <c r="D363" s="1"/>
      <c r="E363" s="1"/>
      <c r="F363" s="1"/>
      <c r="G363" s="1"/>
      <c r="H363" s="1"/>
      <c r="I363" s="1"/>
      <c r="J363" s="21"/>
    </row>
    <row r="364" spans="1:10" x14ac:dyDescent="0.4">
      <c r="A364" s="22" t="s">
        <v>0</v>
      </c>
      <c r="B364" s="23" t="s">
        <v>2</v>
      </c>
      <c r="C364" s="24" t="s">
        <v>1</v>
      </c>
      <c r="D364" s="24" t="s">
        <v>11</v>
      </c>
      <c r="E364" s="8" t="s">
        <v>7</v>
      </c>
      <c r="F364" s="25" t="s">
        <v>47</v>
      </c>
      <c r="G364" s="22" t="s">
        <v>12</v>
      </c>
      <c r="H364" s="15" t="s">
        <v>8</v>
      </c>
      <c r="I364" s="15" t="s">
        <v>7</v>
      </c>
      <c r="J364" s="20"/>
    </row>
    <row r="365" spans="1:10" x14ac:dyDescent="0.4">
      <c r="A365" s="22" t="s">
        <v>3</v>
      </c>
      <c r="B365" s="26">
        <v>3.1</v>
      </c>
      <c r="C365" s="27">
        <v>409.9</v>
      </c>
      <c r="D365" s="28">
        <f>C365/C367</f>
        <v>47.662790697674417</v>
      </c>
      <c r="E365" s="29">
        <f>(D366+0.0045)/0.0056</f>
        <v>32.157392026578073</v>
      </c>
      <c r="F365" s="29">
        <f>(E365*120.15)/1000</f>
        <v>3.8637106519933555</v>
      </c>
      <c r="G365" s="35">
        <f>(C366/(C365+C366))</f>
        <v>3.6703045623587179E-3</v>
      </c>
      <c r="H365" s="19">
        <f>((G365*1000)/1.1)</f>
        <v>3.3366405112351978</v>
      </c>
      <c r="I365" s="19">
        <f>(H365/120.15)*1000</f>
        <v>27.770624313235103</v>
      </c>
      <c r="J365" s="20"/>
    </row>
    <row r="366" spans="1:10" x14ac:dyDescent="0.4">
      <c r="A366" s="22" t="s">
        <v>5</v>
      </c>
      <c r="B366" s="26">
        <v>4.83</v>
      </c>
      <c r="C366" s="27">
        <v>1.51</v>
      </c>
      <c r="D366" s="18">
        <f>C366/C367</f>
        <v>0.17558139534883721</v>
      </c>
      <c r="E366" s="29"/>
      <c r="F366" s="29"/>
      <c r="G366" s="28"/>
      <c r="H366" s="20"/>
      <c r="I366" s="20"/>
      <c r="J366" s="20"/>
    </row>
    <row r="367" spans="1:10" ht="15" thickBot="1" x14ac:dyDescent="0.45">
      <c r="A367" s="22" t="s">
        <v>4</v>
      </c>
      <c r="B367" s="30">
        <v>6.2119999999999997</v>
      </c>
      <c r="C367" s="31">
        <v>8.6</v>
      </c>
      <c r="D367" s="31"/>
      <c r="E367" s="32"/>
      <c r="F367" s="32"/>
      <c r="G367" s="36">
        <f>C367/(C365+C366+C367)</f>
        <v>2.0475702959453345E-2</v>
      </c>
      <c r="H367" s="20"/>
      <c r="I367" s="20"/>
      <c r="J367" s="20"/>
    </row>
    <row r="368" spans="1:10" ht="15" thickBot="1" x14ac:dyDescent="0.45">
      <c r="A368" s="1" t="s">
        <v>133</v>
      </c>
      <c r="B368" s="33"/>
      <c r="C368" s="33"/>
      <c r="D368" s="33"/>
      <c r="E368" s="33"/>
      <c r="F368" s="33"/>
      <c r="G368" s="1"/>
      <c r="H368" s="1"/>
      <c r="I368" s="1"/>
      <c r="J368" s="34"/>
    </row>
    <row r="369" spans="1:10" x14ac:dyDescent="0.4">
      <c r="A369" s="22" t="s">
        <v>0</v>
      </c>
      <c r="B369" s="23" t="s">
        <v>2</v>
      </c>
      <c r="C369" s="24" t="s">
        <v>1</v>
      </c>
      <c r="D369" s="24" t="s">
        <v>11</v>
      </c>
      <c r="E369" s="8" t="s">
        <v>7</v>
      </c>
      <c r="F369" s="25" t="s">
        <v>47</v>
      </c>
      <c r="G369" s="22" t="s">
        <v>12</v>
      </c>
      <c r="H369" s="15" t="s">
        <v>8</v>
      </c>
      <c r="I369" s="15" t="s">
        <v>7</v>
      </c>
      <c r="J369" s="34"/>
    </row>
    <row r="370" spans="1:10" x14ac:dyDescent="0.4">
      <c r="A370" s="22" t="s">
        <v>3</v>
      </c>
      <c r="B370" s="26">
        <v>3.14</v>
      </c>
      <c r="C370" s="20">
        <v>1528</v>
      </c>
      <c r="D370" s="28">
        <f>C370/C372</f>
        <v>49.29032258064516</v>
      </c>
      <c r="E370" s="29">
        <f>(D371+0.0045)/0.0056</f>
        <v>40.262096774193544</v>
      </c>
      <c r="F370" s="29">
        <f>(E370*120.15)/1000</f>
        <v>4.8374909274193545</v>
      </c>
      <c r="G370" s="35">
        <f>(C371/(C370+C371))</f>
        <v>4.4629768381275045E-3</v>
      </c>
      <c r="H370" s="19">
        <f>((G370*1000)/1.1)</f>
        <v>4.0572516710250035</v>
      </c>
      <c r="I370" s="19">
        <f>(H370/120.15)*1000</f>
        <v>33.768220316479429</v>
      </c>
      <c r="J370" s="34"/>
    </row>
    <row r="371" spans="1:10" x14ac:dyDescent="0.4">
      <c r="A371" s="22" t="s">
        <v>5</v>
      </c>
      <c r="B371" s="26">
        <v>4.83</v>
      </c>
      <c r="C371" s="20">
        <v>6.85</v>
      </c>
      <c r="D371" s="18">
        <f>C371/C372</f>
        <v>0.22096774193548385</v>
      </c>
      <c r="E371" s="29"/>
      <c r="F371" s="29"/>
      <c r="G371" s="28"/>
      <c r="H371" s="20"/>
      <c r="I371" s="20"/>
      <c r="J371" s="34"/>
    </row>
    <row r="372" spans="1:10" ht="15" thickBot="1" x14ac:dyDescent="0.45">
      <c r="A372" s="22" t="s">
        <v>4</v>
      </c>
      <c r="B372" s="30">
        <v>6.2119999999999997</v>
      </c>
      <c r="C372" s="31">
        <v>31</v>
      </c>
      <c r="D372" s="31"/>
      <c r="E372" s="32"/>
      <c r="F372" s="32"/>
      <c r="G372" s="36">
        <f>C372/(C370+C371+C372)</f>
        <v>1.9797554044129386E-2</v>
      </c>
      <c r="H372" s="20"/>
      <c r="I372" s="20"/>
      <c r="J372" s="34"/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6E7B82-39D0-4978-AF2D-256C7858B8DC}">
  <dimension ref="C1:AD45"/>
  <sheetViews>
    <sheetView topLeftCell="A11" zoomScale="57" workbookViewId="0">
      <selection activeCell="O32" sqref="O32:O42"/>
    </sheetView>
  </sheetViews>
  <sheetFormatPr defaultRowHeight="14.6" x14ac:dyDescent="0.4"/>
  <cols>
    <col min="15" max="15" width="12.61328125" customWidth="1"/>
  </cols>
  <sheetData>
    <row r="1" spans="3:25" ht="15" thickBot="1" x14ac:dyDescent="0.45"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</row>
    <row r="2" spans="3:25" ht="15" thickBot="1" x14ac:dyDescent="0.45">
      <c r="C2" s="44">
        <v>4112020</v>
      </c>
      <c r="D2" s="3"/>
      <c r="E2" s="3"/>
      <c r="F2" s="3"/>
      <c r="G2" s="3"/>
      <c r="H2" s="3"/>
      <c r="I2" s="44">
        <v>6112020</v>
      </c>
      <c r="J2" s="3"/>
      <c r="K2" s="3"/>
      <c r="L2" s="3"/>
      <c r="M2" s="3"/>
      <c r="N2" s="3"/>
      <c r="O2" s="45" t="s">
        <v>10</v>
      </c>
      <c r="P2" s="46"/>
      <c r="Q2" s="46"/>
      <c r="R2" s="46"/>
      <c r="S2" s="46"/>
      <c r="T2" s="46"/>
      <c r="U2" s="46"/>
      <c r="V2" s="46"/>
      <c r="W2" s="47"/>
    </row>
    <row r="3" spans="3:25" x14ac:dyDescent="0.4">
      <c r="C3" s="6" t="s">
        <v>46</v>
      </c>
      <c r="D3" s="7"/>
      <c r="E3" s="7"/>
      <c r="F3" s="7"/>
      <c r="G3" s="7"/>
      <c r="H3" s="8"/>
      <c r="I3" s="6" t="s">
        <v>46</v>
      </c>
      <c r="J3" s="7"/>
      <c r="K3" s="7"/>
      <c r="L3" s="7"/>
      <c r="M3" s="7"/>
      <c r="N3" s="7"/>
      <c r="O3" s="6" t="s">
        <v>46</v>
      </c>
      <c r="P3" s="7"/>
      <c r="Q3" s="7"/>
      <c r="R3" s="4"/>
      <c r="S3" s="4" t="s">
        <v>46</v>
      </c>
      <c r="T3" s="7"/>
      <c r="U3" s="7"/>
      <c r="V3" s="7"/>
      <c r="W3" s="8"/>
    </row>
    <row r="4" spans="3:25" x14ac:dyDescent="0.4">
      <c r="C4" s="10" t="s">
        <v>14</v>
      </c>
      <c r="D4" s="4" t="s">
        <v>16</v>
      </c>
      <c r="E4" s="4" t="s">
        <v>49</v>
      </c>
      <c r="F4" s="4" t="s">
        <v>9</v>
      </c>
      <c r="G4" s="4" t="s">
        <v>15</v>
      </c>
      <c r="H4" s="9" t="s">
        <v>53</v>
      </c>
      <c r="I4" s="10" t="s">
        <v>14</v>
      </c>
      <c r="J4" s="4" t="s">
        <v>16</v>
      </c>
      <c r="K4" s="4" t="s">
        <v>49</v>
      </c>
      <c r="L4" s="4" t="s">
        <v>9</v>
      </c>
      <c r="M4" s="4" t="s">
        <v>15</v>
      </c>
      <c r="N4" s="4" t="s">
        <v>53</v>
      </c>
      <c r="O4" s="10" t="s">
        <v>49</v>
      </c>
      <c r="P4" s="4" t="s">
        <v>6</v>
      </c>
      <c r="Q4" s="4" t="s">
        <v>9</v>
      </c>
      <c r="R4" s="4" t="s">
        <v>6</v>
      </c>
      <c r="S4" s="4" t="s">
        <v>14</v>
      </c>
      <c r="T4" s="4" t="s">
        <v>15</v>
      </c>
      <c r="U4" s="4" t="s">
        <v>6</v>
      </c>
      <c r="V4" s="4" t="s">
        <v>53</v>
      </c>
      <c r="W4" s="9" t="s">
        <v>6</v>
      </c>
      <c r="X4" s="15" t="s">
        <v>148</v>
      </c>
      <c r="Y4" s="15"/>
    </row>
    <row r="5" spans="3:25" x14ac:dyDescent="0.4">
      <c r="C5" s="10">
        <v>0</v>
      </c>
      <c r="D5" s="4">
        <v>1</v>
      </c>
      <c r="E5" s="4">
        <v>0</v>
      </c>
      <c r="F5" s="4">
        <v>0</v>
      </c>
      <c r="G5">
        <v>0</v>
      </c>
      <c r="H5" s="9">
        <v>0</v>
      </c>
      <c r="I5" s="10">
        <v>0</v>
      </c>
      <c r="J5" s="4">
        <v>1</v>
      </c>
      <c r="K5" s="4">
        <v>0</v>
      </c>
      <c r="L5" s="4">
        <v>0</v>
      </c>
      <c r="M5" s="4">
        <v>0</v>
      </c>
      <c r="N5" s="4">
        <v>0</v>
      </c>
      <c r="O5" s="10">
        <v>0</v>
      </c>
      <c r="P5" s="4">
        <v>0</v>
      </c>
      <c r="Q5" s="4">
        <v>0</v>
      </c>
      <c r="R5" s="4">
        <v>0</v>
      </c>
      <c r="S5" s="4">
        <v>0</v>
      </c>
      <c r="T5" s="4">
        <f>0</f>
        <v>0</v>
      </c>
      <c r="U5" s="4">
        <f>0</f>
        <v>0</v>
      </c>
      <c r="V5" s="4">
        <f>0</f>
        <v>0</v>
      </c>
      <c r="W5" s="9">
        <v>0</v>
      </c>
    </row>
    <row r="6" spans="3:25" x14ac:dyDescent="0.4">
      <c r="C6" s="10">
        <v>1</v>
      </c>
      <c r="D6" s="4">
        <v>9.56</v>
      </c>
      <c r="E6" s="4">
        <v>7.5035944329422595</v>
      </c>
      <c r="F6" s="4">
        <v>3075.2436200583033</v>
      </c>
      <c r="G6">
        <v>3075.2436200583033</v>
      </c>
      <c r="H6" s="9">
        <v>7.5035944329422595</v>
      </c>
      <c r="I6" s="10">
        <v>1</v>
      </c>
      <c r="J6" s="4">
        <v>9.56</v>
      </c>
      <c r="K6" s="4">
        <v>30.869885916601103</v>
      </c>
      <c r="L6" s="4">
        <v>12651.592588770944</v>
      </c>
      <c r="M6" s="4">
        <v>12651.592588770944</v>
      </c>
      <c r="N6" s="4">
        <v>30.869885916601103</v>
      </c>
      <c r="O6" s="10">
        <f t="shared" ref="O6:O15" si="0">AVERAGE(E6,K6)</f>
        <v>19.186740174771682</v>
      </c>
      <c r="P6" s="4">
        <f>STDEV(E6,K6)</f>
        <v>16.52246315927664</v>
      </c>
      <c r="Q6" s="4">
        <f>AVERAGE(F6,L6)</f>
        <v>7863.4181044146235</v>
      </c>
      <c r="R6" s="4">
        <f>STDEV(F6,L6)</f>
        <v>6771.5012947855084</v>
      </c>
      <c r="S6" s="4">
        <v>1</v>
      </c>
      <c r="T6" s="4">
        <f>AVERAGE(G6,M6)</f>
        <v>7863.4181044146235</v>
      </c>
      <c r="U6" s="4">
        <f>STDEV(G6,M6)</f>
        <v>6771.5012947855084</v>
      </c>
      <c r="V6" s="4">
        <f>AVERAGE(H6,N6)</f>
        <v>19.186740174771682</v>
      </c>
      <c r="W6" s="9">
        <f>STDEV(H6,N6)</f>
        <v>16.52246315927664</v>
      </c>
      <c r="X6" s="55">
        <f>T6/$T$6</f>
        <v>1</v>
      </c>
    </row>
    <row r="7" spans="3:25" x14ac:dyDescent="0.4">
      <c r="C7" s="10">
        <v>2</v>
      </c>
      <c r="D7" s="4">
        <v>18.12</v>
      </c>
      <c r="E7" s="4">
        <v>15.04866833004526</v>
      </c>
      <c r="F7" s="4">
        <v>6167.4870205103525</v>
      </c>
      <c r="G7">
        <v>3092.2434004520496</v>
      </c>
      <c r="H7" s="9">
        <v>7.5450738971030002</v>
      </c>
      <c r="I7" s="10">
        <v>2</v>
      </c>
      <c r="J7" s="4">
        <v>18.12</v>
      </c>
      <c r="K7" s="4">
        <v>42.201538419499407</v>
      </c>
      <c r="L7" s="4">
        <v>17295.712467007954</v>
      </c>
      <c r="M7" s="4">
        <v>4644.1198782370102</v>
      </c>
      <c r="N7" s="4">
        <v>11.331652502898304</v>
      </c>
      <c r="O7" s="10">
        <f t="shared" si="0"/>
        <v>28.625103374772333</v>
      </c>
      <c r="P7" s="4">
        <f>STDEV(E7,K7)</f>
        <v>19.199978568930401</v>
      </c>
      <c r="Q7" s="4">
        <f t="shared" ref="Q7:Q15" si="1">AVERAGE(F7,L7)</f>
        <v>11731.599743759154</v>
      </c>
      <c r="R7" s="4">
        <f t="shared" ref="R7:R15" si="2">STDEV(F7,L7)</f>
        <v>7868.8436757911486</v>
      </c>
      <c r="S7" s="4">
        <v>2</v>
      </c>
      <c r="T7" s="4">
        <f t="shared" ref="T7:T15" si="3">AVERAGE(G7,M7)</f>
        <v>3868.1816393445297</v>
      </c>
      <c r="U7" s="4">
        <f t="shared" ref="U7:U15" si="4">STDEV(G7,M7)</f>
        <v>1097.3423810056431</v>
      </c>
      <c r="V7" s="4">
        <f t="shared" ref="V7:V15" si="5">AVERAGE(H7,N7)</f>
        <v>9.4383632000006514</v>
      </c>
      <c r="W7" s="9">
        <f t="shared" ref="W7:W15" si="6">STDEV(H7,N7)</f>
        <v>2.6775154096537692</v>
      </c>
      <c r="X7" s="55">
        <f t="shared" ref="X7:X15" si="7">T7/$T$6</f>
        <v>0.49192114522981845</v>
      </c>
    </row>
    <row r="8" spans="3:25" x14ac:dyDescent="0.4">
      <c r="C8" s="10">
        <v>3</v>
      </c>
      <c r="D8" s="4">
        <v>26.68</v>
      </c>
      <c r="E8" s="4">
        <v>27.447562358276645</v>
      </c>
      <c r="F8" s="4">
        <v>11249.000966506823</v>
      </c>
      <c r="G8">
        <v>5081.5139459964694</v>
      </c>
      <c r="H8" s="9">
        <v>12.398894028231386</v>
      </c>
      <c r="I8" s="10">
        <v>3</v>
      </c>
      <c r="J8" s="4">
        <v>26.68</v>
      </c>
      <c r="K8" s="4">
        <v>51.105382293762581</v>
      </c>
      <c r="L8" s="4">
        <v>20944.82880891909</v>
      </c>
      <c r="M8" s="4">
        <v>3649.1163419111372</v>
      </c>
      <c r="N8" s="4">
        <v>8.903843874263174</v>
      </c>
      <c r="O8" s="10">
        <f t="shared" si="0"/>
        <v>39.276472326019615</v>
      </c>
      <c r="P8" s="4">
        <f>STDEV(E8,K8)</f>
        <v>16.728604904472391</v>
      </c>
      <c r="Q8" s="4">
        <f t="shared" si="1"/>
        <v>16096.914887712956</v>
      </c>
      <c r="R8" s="4">
        <f t="shared" si="2"/>
        <v>6855.9856165870506</v>
      </c>
      <c r="S8" s="4">
        <v>3</v>
      </c>
      <c r="T8" s="4">
        <f t="shared" si="3"/>
        <v>4365.3151439538033</v>
      </c>
      <c r="U8" s="4">
        <f t="shared" si="4"/>
        <v>1012.8580592040998</v>
      </c>
      <c r="V8" s="4">
        <f t="shared" si="5"/>
        <v>10.65136895124728</v>
      </c>
      <c r="W8" s="9">
        <f t="shared" si="6"/>
        <v>2.4713736644580129</v>
      </c>
      <c r="X8" s="55">
        <f t="shared" si="7"/>
        <v>0.55514218956550965</v>
      </c>
    </row>
    <row r="9" spans="3:25" x14ac:dyDescent="0.4">
      <c r="C9" s="10">
        <v>4</v>
      </c>
      <c r="D9" s="4">
        <v>35.24</v>
      </c>
      <c r="E9" s="4">
        <v>33.414765544190324</v>
      </c>
      <c r="F9" s="4">
        <v>13694.576042700954</v>
      </c>
      <c r="G9">
        <v>2445.5750761941308</v>
      </c>
      <c r="H9" s="9">
        <v>5.9672031859136787</v>
      </c>
      <c r="I9" s="10">
        <v>4</v>
      </c>
      <c r="J9" s="4">
        <v>35.24</v>
      </c>
      <c r="K9" s="4">
        <v>55.924865229110516</v>
      </c>
      <c r="L9" s="4">
        <v>22920.026733242015</v>
      </c>
      <c r="M9" s="4">
        <v>1975.1979243229243</v>
      </c>
      <c r="N9" s="4">
        <v>4.8194829353479349</v>
      </c>
      <c r="O9" s="10">
        <f t="shared" si="0"/>
        <v>44.66981538665042</v>
      </c>
      <c r="P9" s="4">
        <f t="shared" ref="P9:P15" si="8">STDEV(E9,K9)</f>
        <v>15.917044132392244</v>
      </c>
      <c r="Q9" s="4">
        <f t="shared" si="1"/>
        <v>18307.301387971485</v>
      </c>
      <c r="R9" s="4">
        <f t="shared" si="2"/>
        <v>6523.3787427836987</v>
      </c>
      <c r="S9" s="4">
        <v>4</v>
      </c>
      <c r="T9" s="4">
        <f t="shared" si="3"/>
        <v>2210.3865002585276</v>
      </c>
      <c r="U9" s="4">
        <f t="shared" si="4"/>
        <v>332.60687380334531</v>
      </c>
      <c r="V9" s="4">
        <f t="shared" si="5"/>
        <v>5.3933430606308068</v>
      </c>
      <c r="W9" s="9">
        <f t="shared" si="6"/>
        <v>0.81156077208015787</v>
      </c>
      <c r="X9" s="55">
        <f t="shared" si="7"/>
        <v>0.28109741475117395</v>
      </c>
    </row>
    <row r="10" spans="3:25" x14ac:dyDescent="0.4">
      <c r="C10" s="10">
        <v>18</v>
      </c>
      <c r="D10" s="4">
        <v>155.08000000000001</v>
      </c>
      <c r="E10" s="4">
        <v>109.86397411313519</v>
      </c>
      <c r="F10" s="4">
        <v>45026.2188988259</v>
      </c>
      <c r="G10">
        <v>2075.9370536840793</v>
      </c>
      <c r="H10" s="9">
        <v>5.0652864109891533</v>
      </c>
      <c r="I10" s="10">
        <v>18</v>
      </c>
      <c r="J10" s="4">
        <v>155.08000000000001</v>
      </c>
      <c r="K10" s="4">
        <v>87.209101382488498</v>
      </c>
      <c r="L10" s="4">
        <v>35741.434992823153</v>
      </c>
      <c r="M10" s="4">
        <v>915.81487568436728</v>
      </c>
      <c r="N10" s="4">
        <v>2.2345882966698558</v>
      </c>
      <c r="O10" s="10">
        <f t="shared" si="0"/>
        <v>98.536537747811849</v>
      </c>
      <c r="P10" s="4">
        <f t="shared" si="8"/>
        <v>16.01941413475835</v>
      </c>
      <c r="Q10" s="4">
        <f t="shared" si="1"/>
        <v>40383.826945824527</v>
      </c>
      <c r="R10" s="4">
        <f t="shared" si="2"/>
        <v>6565.3336617862615</v>
      </c>
      <c r="S10" s="4">
        <v>18</v>
      </c>
      <c r="T10" s="4">
        <f t="shared" si="3"/>
        <v>1495.8759646842232</v>
      </c>
      <c r="U10" s="4">
        <f t="shared" si="4"/>
        <v>820.33025906850355</v>
      </c>
      <c r="V10" s="4">
        <f t="shared" si="5"/>
        <v>3.6499373538295048</v>
      </c>
      <c r="W10" s="9">
        <f t="shared" si="6"/>
        <v>2.0016058321271477</v>
      </c>
      <c r="X10" s="55">
        <f t="shared" si="7"/>
        <v>0.19023228128292188</v>
      </c>
    </row>
    <row r="11" spans="3:25" x14ac:dyDescent="0.4">
      <c r="C11" s="10">
        <v>20</v>
      </c>
      <c r="D11" s="4">
        <v>172.20000000000002</v>
      </c>
      <c r="E11" s="4">
        <v>109.93055555555556</v>
      </c>
      <c r="F11" s="4">
        <v>45053.506375227691</v>
      </c>
      <c r="G11">
        <v>13.643738200895836</v>
      </c>
      <c r="H11" s="9">
        <v>3.3290721210185836E-2</v>
      </c>
      <c r="I11" s="10">
        <v>20</v>
      </c>
      <c r="J11" s="4">
        <v>172.20000000000002</v>
      </c>
      <c r="K11" s="4">
        <v>84.777890639538498</v>
      </c>
      <c r="L11" s="4">
        <v>34745.037147351846</v>
      </c>
      <c r="M11" s="4">
        <v>-498.1989227356558</v>
      </c>
      <c r="N11" s="4">
        <v>-1.2156053714750001</v>
      </c>
      <c r="O11" s="10">
        <f t="shared" si="0"/>
        <v>97.35422309754702</v>
      </c>
      <c r="P11" s="4">
        <f t="shared" si="8"/>
        <v>17.785619927028595</v>
      </c>
      <c r="Q11" s="4">
        <f t="shared" si="1"/>
        <v>39899.271761289769</v>
      </c>
      <c r="R11" s="4">
        <f t="shared" si="2"/>
        <v>7289.1884946838391</v>
      </c>
      <c r="S11" s="4">
        <v>20</v>
      </c>
      <c r="T11" s="4">
        <f t="shared" si="3"/>
        <v>-242.27759226737999</v>
      </c>
      <c r="U11" s="4">
        <f t="shared" si="4"/>
        <v>361.92741644880243</v>
      </c>
      <c r="V11" s="4">
        <f t="shared" si="5"/>
        <v>-0.59115732513240715</v>
      </c>
      <c r="W11" s="9">
        <f t="shared" si="6"/>
        <v>0.88310289613507797</v>
      </c>
      <c r="X11" s="55">
        <f t="shared" si="7"/>
        <v>-3.0810722392004344E-2</v>
      </c>
    </row>
    <row r="12" spans="3:25" x14ac:dyDescent="0.4">
      <c r="C12" s="10">
        <v>22</v>
      </c>
      <c r="D12" s="4">
        <v>189.32000000000002</v>
      </c>
      <c r="E12" s="4">
        <v>110.88184931506849</v>
      </c>
      <c r="F12" s="4">
        <v>45443.38086683135</v>
      </c>
      <c r="G12">
        <v>194.93724580183112</v>
      </c>
      <c r="H12" s="9">
        <v>0.47564687975646791</v>
      </c>
      <c r="I12" s="10">
        <v>22</v>
      </c>
      <c r="J12" s="4">
        <v>189.32000000000002</v>
      </c>
      <c r="K12" s="4">
        <v>86.36904761904762</v>
      </c>
      <c r="L12" s="4">
        <v>35397.150663544111</v>
      </c>
      <c r="M12" s="4">
        <v>326.05675809613166</v>
      </c>
      <c r="N12" s="4">
        <v>0.79557848975456125</v>
      </c>
      <c r="O12" s="10">
        <f t="shared" si="0"/>
        <v>98.62544846705805</v>
      </c>
      <c r="P12" s="4">
        <f t="shared" si="8"/>
        <v>17.33316830513758</v>
      </c>
      <c r="Q12" s="4">
        <f t="shared" si="1"/>
        <v>40420.265765187731</v>
      </c>
      <c r="R12" s="4">
        <f t="shared" si="2"/>
        <v>7103.7575021055063</v>
      </c>
      <c r="S12" s="4">
        <v>22</v>
      </c>
      <c r="T12" s="4">
        <f t="shared" si="3"/>
        <v>260.49700194898139</v>
      </c>
      <c r="U12" s="4">
        <f t="shared" si="4"/>
        <v>92.715496289172791</v>
      </c>
      <c r="V12" s="4">
        <f t="shared" si="5"/>
        <v>0.63561268475551458</v>
      </c>
      <c r="W12" s="9">
        <f t="shared" si="6"/>
        <v>0.22622581094558145</v>
      </c>
      <c r="X12" s="55">
        <f t="shared" si="7"/>
        <v>3.3127705851318655E-2</v>
      </c>
    </row>
    <row r="13" spans="3:25" x14ac:dyDescent="0.4">
      <c r="C13" s="10">
        <v>24</v>
      </c>
      <c r="D13" s="4">
        <v>206.44</v>
      </c>
      <c r="E13" s="4">
        <v>113.3538732394366</v>
      </c>
      <c r="F13" s="4">
        <v>46456.505425998606</v>
      </c>
      <c r="G13">
        <v>506.56227958362751</v>
      </c>
      <c r="H13" s="9">
        <v>1.2360119621840511</v>
      </c>
      <c r="I13" s="10">
        <v>24</v>
      </c>
      <c r="J13" s="4">
        <v>206.44</v>
      </c>
      <c r="K13" s="4">
        <v>84.172762478485367</v>
      </c>
      <c r="L13" s="4">
        <v>34497.033802657941</v>
      </c>
      <c r="M13" s="4">
        <v>-450.05843044308466</v>
      </c>
      <c r="N13" s="4">
        <v>-1.0981425702811265</v>
      </c>
      <c r="O13" s="10">
        <f t="shared" si="0"/>
        <v>98.763317858960988</v>
      </c>
      <c r="P13" s="4">
        <f t="shared" si="8"/>
        <v>20.634161301624225</v>
      </c>
      <c r="Q13" s="4">
        <f t="shared" si="1"/>
        <v>40476.769614328274</v>
      </c>
      <c r="R13" s="4">
        <f t="shared" si="2"/>
        <v>8456.6234842722552</v>
      </c>
      <c r="S13" s="4">
        <v>24</v>
      </c>
      <c r="T13" s="4">
        <f t="shared" si="3"/>
        <v>28.251924570271427</v>
      </c>
      <c r="U13" s="4">
        <f t="shared" si="4"/>
        <v>676.43299108337806</v>
      </c>
      <c r="V13" s="4">
        <f t="shared" si="5"/>
        <v>6.8934695951462288E-2</v>
      </c>
      <c r="W13" s="9">
        <f t="shared" si="6"/>
        <v>1.6504964982434425</v>
      </c>
      <c r="X13" s="55">
        <f t="shared" si="7"/>
        <v>3.5928300129952945E-3</v>
      </c>
    </row>
    <row r="14" spans="3:25" x14ac:dyDescent="0.4">
      <c r="C14" s="10">
        <v>46</v>
      </c>
      <c r="D14" s="4">
        <v>394.76000000000005</v>
      </c>
      <c r="E14" s="4">
        <v>121.07848551791851</v>
      </c>
      <c r="F14" s="4">
        <v>49622.330130294475</v>
      </c>
      <c r="G14">
        <v>-613.2533870880718</v>
      </c>
      <c r="H14" s="9">
        <v>-0.1496338264494895</v>
      </c>
      <c r="I14" s="10">
        <v>46</v>
      </c>
      <c r="J14" s="4">
        <v>394.76000000000005</v>
      </c>
      <c r="K14" s="4">
        <v>90.903441163699512</v>
      </c>
      <c r="L14" s="4">
        <v>37255.508673647346</v>
      </c>
      <c r="M14" s="4">
        <v>125.38522140860924</v>
      </c>
      <c r="N14" s="4">
        <v>0.30593994023700655</v>
      </c>
      <c r="O14" s="10">
        <f t="shared" si="0"/>
        <v>105.990963340809</v>
      </c>
      <c r="P14" s="4">
        <f t="shared" si="8"/>
        <v>21.336978485473182</v>
      </c>
      <c r="Q14" s="4">
        <f t="shared" si="1"/>
        <v>43438.91940197091</v>
      </c>
      <c r="R14" s="4">
        <f t="shared" si="2"/>
        <v>8744.6633137184872</v>
      </c>
      <c r="S14" s="4">
        <v>46</v>
      </c>
      <c r="T14" s="4">
        <f t="shared" si="3"/>
        <v>-243.93408283973127</v>
      </c>
      <c r="U14" s="4">
        <f t="shared" si="4"/>
        <v>522.29636891419852</v>
      </c>
      <c r="V14" s="4">
        <f t="shared" si="5"/>
        <v>7.8153056893758524E-2</v>
      </c>
      <c r="W14" s="9">
        <f t="shared" si="6"/>
        <v>0.32213929975471939</v>
      </c>
      <c r="X14" s="55">
        <f t="shared" si="7"/>
        <v>-3.1021380219218353E-2</v>
      </c>
    </row>
    <row r="15" spans="3:25" ht="15" thickBot="1" x14ac:dyDescent="0.45">
      <c r="C15" s="17">
        <v>48</v>
      </c>
      <c r="D15" s="11">
        <v>411.88</v>
      </c>
      <c r="E15" s="11">
        <v>119.50411286963767</v>
      </c>
      <c r="F15" s="11">
        <v>48977.095438376098</v>
      </c>
      <c r="G15">
        <v>-322.61734595918909</v>
      </c>
      <c r="H15" s="12">
        <v>-7.8718632414042131E-2</v>
      </c>
      <c r="I15" s="17">
        <v>48</v>
      </c>
      <c r="J15" s="11">
        <v>411.88</v>
      </c>
      <c r="K15" s="11">
        <v>91.16501721170394</v>
      </c>
      <c r="L15" s="11">
        <v>37362.711972009813</v>
      </c>
      <c r="M15" s="11">
        <v>53.601649181235388</v>
      </c>
      <c r="N15" s="11">
        <v>0.13078802400221434</v>
      </c>
      <c r="O15" s="17">
        <f t="shared" si="0"/>
        <v>105.33456504067081</v>
      </c>
      <c r="P15" s="11">
        <f t="shared" si="8"/>
        <v>20.038766712419125</v>
      </c>
      <c r="Q15" s="11">
        <f t="shared" si="1"/>
        <v>43169.903705192955</v>
      </c>
      <c r="R15" s="11">
        <f t="shared" si="2"/>
        <v>8212.60930836849</v>
      </c>
      <c r="S15" s="11">
        <v>48</v>
      </c>
      <c r="T15" s="11">
        <f t="shared" si="3"/>
        <v>-134.50784838897687</v>
      </c>
      <c r="U15" s="11">
        <f t="shared" si="4"/>
        <v>266.0270026749829</v>
      </c>
      <c r="V15" s="11">
        <f t="shared" si="5"/>
        <v>2.6034695794086106E-2</v>
      </c>
      <c r="W15" s="12">
        <f t="shared" si="6"/>
        <v>0.14814357745565507</v>
      </c>
      <c r="X15" s="55">
        <f t="shared" si="7"/>
        <v>-1.7105519076171524E-2</v>
      </c>
    </row>
    <row r="16" spans="3:25" x14ac:dyDescent="0.4">
      <c r="C16" s="6" t="s">
        <v>48</v>
      </c>
      <c r="D16" s="7"/>
      <c r="E16" s="7"/>
      <c r="F16" s="7"/>
      <c r="G16" s="7"/>
      <c r="H16" s="7"/>
      <c r="I16" s="6" t="s">
        <v>48</v>
      </c>
      <c r="J16" s="7"/>
      <c r="K16" s="7"/>
      <c r="L16" s="7"/>
      <c r="M16" s="7"/>
      <c r="N16" s="7"/>
      <c r="O16" s="62" t="s">
        <v>48</v>
      </c>
      <c r="P16" s="63"/>
      <c r="Q16" s="7"/>
      <c r="R16" s="7"/>
      <c r="S16" s="7" t="s">
        <v>48</v>
      </c>
      <c r="T16" s="7"/>
      <c r="U16" s="7"/>
      <c r="V16" s="7"/>
      <c r="W16" s="8"/>
    </row>
    <row r="17" spans="3:30" x14ac:dyDescent="0.4">
      <c r="C17" s="10" t="s">
        <v>14</v>
      </c>
      <c r="D17" s="4" t="s">
        <v>16</v>
      </c>
      <c r="E17" s="4" t="s">
        <v>49</v>
      </c>
      <c r="F17" s="4" t="s">
        <v>9</v>
      </c>
      <c r="G17" s="4" t="s">
        <v>15</v>
      </c>
      <c r="H17" s="4" t="s">
        <v>53</v>
      </c>
      <c r="I17" s="10" t="s">
        <v>14</v>
      </c>
      <c r="J17" s="4" t="s">
        <v>16</v>
      </c>
      <c r="K17" s="4" t="s">
        <v>49</v>
      </c>
      <c r="L17" s="4" t="s">
        <v>9</v>
      </c>
      <c r="M17" s="4" t="s">
        <v>15</v>
      </c>
      <c r="N17" s="4" t="s">
        <v>53</v>
      </c>
      <c r="O17" s="64" t="s">
        <v>49</v>
      </c>
      <c r="P17" s="65" t="s">
        <v>6</v>
      </c>
      <c r="Q17" s="4" t="s">
        <v>134</v>
      </c>
      <c r="R17" s="4" t="s">
        <v>6</v>
      </c>
      <c r="S17" s="4" t="s">
        <v>14</v>
      </c>
      <c r="T17" s="4" t="s">
        <v>15</v>
      </c>
      <c r="U17" s="4" t="s">
        <v>6</v>
      </c>
      <c r="V17" s="4" t="s">
        <v>53</v>
      </c>
      <c r="W17" s="9" t="s">
        <v>6</v>
      </c>
      <c r="X17" s="15" t="s">
        <v>148</v>
      </c>
      <c r="Y17" s="15" t="s">
        <v>153</v>
      </c>
      <c r="AA17" s="15" t="s">
        <v>154</v>
      </c>
    </row>
    <row r="18" spans="3:30" x14ac:dyDescent="0.4">
      <c r="C18" s="10">
        <v>0</v>
      </c>
      <c r="D18" s="4">
        <v>1</v>
      </c>
      <c r="E18" s="4">
        <v>0</v>
      </c>
      <c r="F18" s="4">
        <v>0</v>
      </c>
      <c r="G18">
        <v>0</v>
      </c>
      <c r="H18" s="4">
        <v>0</v>
      </c>
      <c r="I18" s="10">
        <v>0</v>
      </c>
      <c r="J18" s="4">
        <v>1</v>
      </c>
      <c r="K18" s="4">
        <v>0</v>
      </c>
      <c r="L18" s="4">
        <v>0</v>
      </c>
      <c r="M18" s="4">
        <v>0</v>
      </c>
      <c r="N18" s="4">
        <v>0</v>
      </c>
      <c r="O18" s="64">
        <v>0</v>
      </c>
      <c r="P18" s="65">
        <v>0</v>
      </c>
      <c r="Q18" s="4">
        <v>0</v>
      </c>
      <c r="R18" s="4">
        <v>0</v>
      </c>
      <c r="S18" s="4">
        <v>0</v>
      </c>
      <c r="T18" s="4">
        <f>0</f>
        <v>0</v>
      </c>
      <c r="U18" s="4">
        <f>0</f>
        <v>0</v>
      </c>
      <c r="V18" s="4">
        <f>0</f>
        <v>0</v>
      </c>
      <c r="W18" s="9">
        <v>0</v>
      </c>
      <c r="Y18">
        <v>0</v>
      </c>
      <c r="Z18">
        <v>0</v>
      </c>
      <c r="AA18">
        <f>T18/1.85</f>
        <v>0</v>
      </c>
    </row>
    <row r="19" spans="3:30" x14ac:dyDescent="0.4">
      <c r="C19" s="10">
        <v>1</v>
      </c>
      <c r="D19" s="4">
        <v>9.56</v>
      </c>
      <c r="E19" s="4">
        <v>9.1006925583921792</v>
      </c>
      <c r="F19" s="4">
        <v>21164.401298586465</v>
      </c>
      <c r="G19">
        <v>21164.401298586465</v>
      </c>
      <c r="H19" s="4">
        <v>9.1006925583921792</v>
      </c>
      <c r="I19" s="10">
        <v>1</v>
      </c>
      <c r="J19" s="4">
        <v>9.56</v>
      </c>
      <c r="K19" s="4">
        <v>4.1420189794294808</v>
      </c>
      <c r="L19" s="4">
        <v>9632.6022777429789</v>
      </c>
      <c r="M19" s="4">
        <v>9632.6022777429789</v>
      </c>
      <c r="N19" s="4">
        <v>4.1420189794294808</v>
      </c>
      <c r="O19" s="64">
        <f t="shared" ref="O19:O28" si="9">AVERAGE(E19,K19)</f>
        <v>6.6213557689108296</v>
      </c>
      <c r="P19" s="65">
        <f>_xlfn.STDEV.P(E19,K19)</f>
        <v>2.4793367894813505</v>
      </c>
      <c r="Q19" s="4">
        <f>AVERAGE(F19,L19)</f>
        <v>15398.501788164722</v>
      </c>
      <c r="R19" s="4">
        <f>STDEV(F19,L19)</f>
        <v>8154.2132869188181</v>
      </c>
      <c r="S19" s="4">
        <v>1</v>
      </c>
      <c r="T19" s="4">
        <f>AVERAGE(G19,M19)</f>
        <v>15398.501788164722</v>
      </c>
      <c r="U19" s="4">
        <f>STDEV(G19,M19)</f>
        <v>8154.2132869188181</v>
      </c>
      <c r="V19" s="4">
        <f>AVERAGE(H19,N19)</f>
        <v>6.6213557689108296</v>
      </c>
      <c r="W19" s="9">
        <f>STDEV(H19,N19)</f>
        <v>3.506311713375093</v>
      </c>
      <c r="X19" s="55">
        <f>T19/$T$19</f>
        <v>1</v>
      </c>
      <c r="Y19">
        <f>Q19/1.85</f>
        <v>8323.5144800890375</v>
      </c>
      <c r="Z19">
        <f>R19/1.85</f>
        <v>4407.6828577939559</v>
      </c>
      <c r="AA19">
        <f t="shared" ref="AA19:AA28" si="10">T19/1.85</f>
        <v>8323.5144800890375</v>
      </c>
    </row>
    <row r="20" spans="3:30" x14ac:dyDescent="0.4">
      <c r="C20" s="10">
        <v>2</v>
      </c>
      <c r="D20" s="4">
        <v>18.12</v>
      </c>
      <c r="E20" s="4">
        <v>11.08257289700021</v>
      </c>
      <c r="F20" s="4">
        <v>25773.425341860955</v>
      </c>
      <c r="G20">
        <v>4609.0240432744904</v>
      </c>
      <c r="H20" s="4">
        <v>1.9818803386080308</v>
      </c>
      <c r="I20" s="10">
        <v>2</v>
      </c>
      <c r="J20" s="4">
        <v>18.12</v>
      </c>
      <c r="K20" s="4">
        <v>6.4921349426197068</v>
      </c>
      <c r="L20" s="4">
        <v>15097.988238650481</v>
      </c>
      <c r="M20" s="4">
        <v>5465.3859609075025</v>
      </c>
      <c r="N20" s="4">
        <v>2.350115963190226</v>
      </c>
      <c r="O20" s="64">
        <f t="shared" si="9"/>
        <v>8.7873539198099593</v>
      </c>
      <c r="P20" s="65">
        <f t="shared" ref="P20:P28" si="11">_xlfn.STDEV.P(E20,K20)</f>
        <v>2.2952189771902471</v>
      </c>
      <c r="Q20" s="4">
        <f t="shared" ref="Q20:Q28" si="12">AVERAGE(F20,L20)</f>
        <v>20435.706790255717</v>
      </c>
      <c r="R20" s="4">
        <f t="shared" ref="R20:R28" si="13">STDEV(F20,L20)</f>
        <v>7548.6739678106069</v>
      </c>
      <c r="S20" s="4">
        <v>2</v>
      </c>
      <c r="T20" s="4">
        <f t="shared" ref="T20:T28" si="14">AVERAGE(G20,M20)</f>
        <v>5037.2050020909965</v>
      </c>
      <c r="U20" s="4">
        <f t="shared" ref="U20:U28" si="15">STDEV(G20,M20)</f>
        <v>605.53931910821848</v>
      </c>
      <c r="V20" s="4">
        <f t="shared" ref="V20:V28" si="16">AVERAGE(H20,N20)</f>
        <v>2.1659981508991284</v>
      </c>
      <c r="W20" s="9">
        <f t="shared" ref="W20:W28" si="17">STDEV(H20,N20)</f>
        <v>0.26038190721653393</v>
      </c>
      <c r="X20" s="55">
        <f t="shared" ref="X20:X28" si="18">T20/$T$19</f>
        <v>0.32712305855382562</v>
      </c>
      <c r="Y20">
        <f t="shared" ref="Y20:Y28" si="19">Q20/1.85</f>
        <v>11046.327994732819</v>
      </c>
      <c r="Z20">
        <f>R20/1.85</f>
        <v>4080.3643069246523</v>
      </c>
      <c r="AA20">
        <f t="shared" si="10"/>
        <v>2722.8135146437817</v>
      </c>
    </row>
    <row r="21" spans="3:30" x14ac:dyDescent="0.4">
      <c r="C21" s="10">
        <v>3</v>
      </c>
      <c r="D21" s="4">
        <v>26.68</v>
      </c>
      <c r="E21" s="4">
        <v>12.809221146085553</v>
      </c>
      <c r="F21" s="4">
        <v>29788.886386245475</v>
      </c>
      <c r="G21">
        <v>4015.4610443845195</v>
      </c>
      <c r="H21" s="4">
        <v>1.7266482490853434</v>
      </c>
      <c r="I21" s="10">
        <v>3</v>
      </c>
      <c r="J21" s="4">
        <v>26.68</v>
      </c>
      <c r="K21" s="4">
        <v>10.575787401574804</v>
      </c>
      <c r="L21" s="4">
        <v>24594.854422266984</v>
      </c>
      <c r="M21" s="4">
        <v>9496.8661836165047</v>
      </c>
      <c r="N21" s="4">
        <v>4.0836524589550969</v>
      </c>
      <c r="O21" s="64">
        <f t="shared" si="9"/>
        <v>11.692504273830178</v>
      </c>
      <c r="P21" s="65">
        <f t="shared" si="11"/>
        <v>1.1167168722553749</v>
      </c>
      <c r="Q21" s="4">
        <f t="shared" si="12"/>
        <v>27191.870404256231</v>
      </c>
      <c r="R21" s="4">
        <f t="shared" si="13"/>
        <v>3672.7352234288719</v>
      </c>
      <c r="S21" s="4">
        <v>3</v>
      </c>
      <c r="T21" s="4">
        <f t="shared" si="14"/>
        <v>6756.1636140005121</v>
      </c>
      <c r="U21" s="4">
        <f t="shared" si="15"/>
        <v>3875.9387443817291</v>
      </c>
      <c r="V21" s="4">
        <f t="shared" si="16"/>
        <v>2.9051503540202201</v>
      </c>
      <c r="W21" s="9">
        <f t="shared" si="17"/>
        <v>1.666653660084144</v>
      </c>
      <c r="X21" s="55">
        <f t="shared" si="18"/>
        <v>0.43875460787966364</v>
      </c>
      <c r="Y21">
        <f t="shared" si="19"/>
        <v>14698.308326624989</v>
      </c>
      <c r="Z21">
        <f t="shared" ref="Z21:Z28" si="20">R21/1.85</f>
        <v>1985.2622829345253</v>
      </c>
      <c r="AA21">
        <f t="shared" si="10"/>
        <v>3651.9803318921686</v>
      </c>
      <c r="AC21" s="22" t="s">
        <v>155</v>
      </c>
      <c r="AD21" s="22"/>
    </row>
    <row r="22" spans="3:30" x14ac:dyDescent="0.4">
      <c r="C22" s="10">
        <v>4</v>
      </c>
      <c r="D22" s="4">
        <v>35.24</v>
      </c>
      <c r="E22" s="4">
        <v>15.783400569530137</v>
      </c>
      <c r="F22" s="4">
        <v>36705.582719837526</v>
      </c>
      <c r="G22">
        <v>6916.6963335920555</v>
      </c>
      <c r="H22" s="4">
        <v>2.9741794234445837</v>
      </c>
      <c r="I22" s="10">
        <v>4</v>
      </c>
      <c r="J22" s="4">
        <v>35.24</v>
      </c>
      <c r="K22" s="4">
        <v>15.769281064744858</v>
      </c>
      <c r="L22" s="4">
        <v>36672.746662197344</v>
      </c>
      <c r="M22" s="4">
        <v>12077.892239930359</v>
      </c>
      <c r="N22" s="4">
        <v>5.1934936631700541</v>
      </c>
      <c r="O22" s="64">
        <f t="shared" si="9"/>
        <v>15.776340817137498</v>
      </c>
      <c r="P22" s="65">
        <f t="shared" si="11"/>
        <v>7.0597523926396732E-3</v>
      </c>
      <c r="Q22" s="4">
        <f t="shared" si="12"/>
        <v>36689.164691017431</v>
      </c>
      <c r="R22" s="4">
        <f t="shared" si="13"/>
        <v>23.218599024805634</v>
      </c>
      <c r="S22" s="4">
        <v>4</v>
      </c>
      <c r="T22" s="4">
        <f t="shared" si="14"/>
        <v>9497.2942867612073</v>
      </c>
      <c r="U22" s="4">
        <f t="shared" si="15"/>
        <v>3649.5166244040652</v>
      </c>
      <c r="V22" s="4">
        <f t="shared" si="16"/>
        <v>4.0838365433073189</v>
      </c>
      <c r="W22" s="9">
        <f t="shared" si="17"/>
        <v>1.5692921484937457</v>
      </c>
      <c r="X22" s="55">
        <f t="shared" si="18"/>
        <v>0.6167674243516873</v>
      </c>
      <c r="Y22">
        <f t="shared" si="19"/>
        <v>19831.980914063475</v>
      </c>
      <c r="Z22">
        <f t="shared" si="20"/>
        <v>12.550594067462505</v>
      </c>
      <c r="AA22">
        <f t="shared" si="10"/>
        <v>5133.6725874384902</v>
      </c>
      <c r="AC22" s="68" t="s">
        <v>48</v>
      </c>
      <c r="AD22" s="68"/>
    </row>
    <row r="23" spans="3:30" x14ac:dyDescent="0.4">
      <c r="C23" s="10">
        <v>18</v>
      </c>
      <c r="D23" s="4">
        <v>155.08000000000001</v>
      </c>
      <c r="E23" s="4">
        <v>101.02223032069971</v>
      </c>
      <c r="F23" s="4">
        <v>234935.41935046445</v>
      </c>
      <c r="G23">
        <v>14068.672383694398</v>
      </c>
      <c r="H23" s="4">
        <v>6.0495291249885907</v>
      </c>
      <c r="I23" s="10">
        <v>18</v>
      </c>
      <c r="J23" s="4">
        <v>155.08000000000001</v>
      </c>
      <c r="K23" s="4">
        <v>54.970699878089334</v>
      </c>
      <c r="L23" s="4">
        <v>127838.83692578915</v>
      </c>
      <c r="M23" s="4">
        <v>6511.8635902565575</v>
      </c>
      <c r="N23" s="4">
        <v>2.8001013438103195</v>
      </c>
      <c r="O23" s="64">
        <f t="shared" si="9"/>
        <v>77.996465099394527</v>
      </c>
      <c r="P23" s="65">
        <f t="shared" si="11"/>
        <v>23.025765221305164</v>
      </c>
      <c r="Q23" s="4">
        <f t="shared" si="12"/>
        <v>181387.12813812681</v>
      </c>
      <c r="R23" s="4">
        <f t="shared" si="13"/>
        <v>75728.719674391934</v>
      </c>
      <c r="S23" s="4">
        <v>18</v>
      </c>
      <c r="T23" s="4">
        <f t="shared" si="14"/>
        <v>10290.267986975477</v>
      </c>
      <c r="U23" s="4">
        <f t="shared" si="15"/>
        <v>5343.4707419700317</v>
      </c>
      <c r="V23" s="4">
        <f t="shared" si="16"/>
        <v>4.4248152343994551</v>
      </c>
      <c r="W23" s="9">
        <f t="shared" si="17"/>
        <v>2.2976924190471126</v>
      </c>
      <c r="X23" s="55">
        <f t="shared" si="18"/>
        <v>0.66826423301029003</v>
      </c>
      <c r="Y23">
        <f t="shared" si="19"/>
        <v>98047.096290879344</v>
      </c>
      <c r="Z23">
        <f t="shared" si="20"/>
        <v>40934.443067238884</v>
      </c>
      <c r="AA23">
        <f t="shared" si="10"/>
        <v>5562.3070199867443</v>
      </c>
      <c r="AC23" s="59" t="s">
        <v>157</v>
      </c>
      <c r="AD23" s="59"/>
    </row>
    <row r="24" spans="3:30" x14ac:dyDescent="0.4">
      <c r="C24" s="10">
        <v>20</v>
      </c>
      <c r="D24" s="4">
        <v>172.20000000000002</v>
      </c>
      <c r="E24" s="4">
        <v>102.84438775510205</v>
      </c>
      <c r="F24" s="4">
        <v>239172.9947793071</v>
      </c>
      <c r="G24">
        <v>2118.7877144213285</v>
      </c>
      <c r="H24" s="4">
        <v>0.91107871720117117</v>
      </c>
      <c r="I24" s="10">
        <v>20</v>
      </c>
      <c r="J24" s="4">
        <v>172.20000000000002</v>
      </c>
      <c r="K24" s="4">
        <v>54.986169562130584</v>
      </c>
      <c r="L24" s="4">
        <v>127874.81293518741</v>
      </c>
      <c r="M24" s="4">
        <v>17.9880046991277</v>
      </c>
      <c r="N24" s="4">
        <v>7.7348420206249102E-3</v>
      </c>
      <c r="O24" s="64">
        <f t="shared" si="9"/>
        <v>78.915278658616316</v>
      </c>
      <c r="P24" s="65">
        <f t="shared" si="11"/>
        <v>23.929109096485725</v>
      </c>
      <c r="Q24" s="4">
        <f t="shared" si="12"/>
        <v>183523.90385724726</v>
      </c>
      <c r="R24" s="4">
        <f t="shared" si="13"/>
        <v>78699.699115710464</v>
      </c>
      <c r="S24" s="4">
        <v>20</v>
      </c>
      <c r="T24" s="4">
        <f t="shared" si="14"/>
        <v>1068.387859560228</v>
      </c>
      <c r="U24" s="4">
        <f t="shared" si="15"/>
        <v>1485.4897206592987</v>
      </c>
      <c r="V24" s="4">
        <f t="shared" si="16"/>
        <v>0.45940677961089804</v>
      </c>
      <c r="W24" s="9">
        <f t="shared" si="17"/>
        <v>0.63876057988349844</v>
      </c>
      <c r="X24" s="55">
        <f t="shared" si="18"/>
        <v>6.9382585024043708E-2</v>
      </c>
      <c r="Y24">
        <f t="shared" si="19"/>
        <v>99202.110193106622</v>
      </c>
      <c r="Z24">
        <f t="shared" si="20"/>
        <v>42540.377900384032</v>
      </c>
      <c r="AA24">
        <f t="shared" si="10"/>
        <v>577.50695111363677</v>
      </c>
      <c r="AC24" s="59">
        <f>0.38*0.5*0.185/1/44400*1000*1000</f>
        <v>0.79166666666666663</v>
      </c>
      <c r="AD24" s="59" t="s">
        <v>159</v>
      </c>
    </row>
    <row r="25" spans="3:30" x14ac:dyDescent="0.4">
      <c r="C25" s="10">
        <v>22</v>
      </c>
      <c r="D25" s="4">
        <v>189.32000000000002</v>
      </c>
      <c r="E25" s="4">
        <v>104.34010004653327</v>
      </c>
      <c r="F25" s="4">
        <v>242651.39545705411</v>
      </c>
      <c r="G25">
        <v>1739.2003388735093</v>
      </c>
      <c r="H25" s="4">
        <v>0.74785614571560899</v>
      </c>
      <c r="I25" s="10">
        <v>22</v>
      </c>
      <c r="J25" s="4">
        <v>189.32000000000002</v>
      </c>
      <c r="K25" s="4">
        <v>54.976250601250598</v>
      </c>
      <c r="L25" s="4">
        <v>127851.74558430372</v>
      </c>
      <c r="M25" s="4">
        <v>-11.533675441844322</v>
      </c>
      <c r="N25" s="4">
        <v>-4.9594804399930581E-3</v>
      </c>
      <c r="O25" s="64">
        <f t="shared" si="9"/>
        <v>79.658175323891925</v>
      </c>
      <c r="P25" s="65">
        <f t="shared" si="11"/>
        <v>24.681924722641355</v>
      </c>
      <c r="Q25" s="4">
        <f t="shared" si="12"/>
        <v>185251.57052067891</v>
      </c>
      <c r="R25" s="4">
        <f t="shared" si="13"/>
        <v>81175.610902863191</v>
      </c>
      <c r="S25" s="4">
        <v>22</v>
      </c>
      <c r="T25" s="4">
        <f t="shared" si="14"/>
        <v>863.83333171583251</v>
      </c>
      <c r="U25" s="4">
        <f t="shared" si="15"/>
        <v>1237.9558935763328</v>
      </c>
      <c r="V25" s="4">
        <f t="shared" si="16"/>
        <v>0.37144833263780797</v>
      </c>
      <c r="W25" s="9">
        <f t="shared" si="17"/>
        <v>0.53232103423782307</v>
      </c>
      <c r="X25" s="55">
        <f t="shared" si="18"/>
        <v>5.6098531116824252E-2</v>
      </c>
      <c r="Y25">
        <f t="shared" si="19"/>
        <v>100135.98406523184</v>
      </c>
      <c r="Z25">
        <f t="shared" si="20"/>
        <v>43878.708596142264</v>
      </c>
      <c r="AA25">
        <f t="shared" si="10"/>
        <v>466.93693606261212</v>
      </c>
      <c r="AC25" s="59"/>
      <c r="AD25" s="59"/>
    </row>
    <row r="26" spans="3:30" x14ac:dyDescent="0.4">
      <c r="C26" s="10">
        <v>24</v>
      </c>
      <c r="D26" s="4">
        <v>206.44</v>
      </c>
      <c r="E26" s="4">
        <v>108.53190866510536</v>
      </c>
      <c r="F26" s="4">
        <v>252399.78759326829</v>
      </c>
      <c r="G26">
        <v>4874.1960681070896</v>
      </c>
      <c r="H26" s="4">
        <v>2.0959043092860483</v>
      </c>
      <c r="I26" s="10">
        <v>24</v>
      </c>
      <c r="J26" s="4">
        <v>206.44</v>
      </c>
      <c r="K26" s="4">
        <v>56.442669172932334</v>
      </c>
      <c r="L26" s="4">
        <v>131262.02133240079</v>
      </c>
      <c r="M26" s="4">
        <v>1705.13787404853</v>
      </c>
      <c r="N26" s="4">
        <v>0.73320928584086786</v>
      </c>
      <c r="O26" s="64">
        <f t="shared" si="9"/>
        <v>82.487288919018852</v>
      </c>
      <c r="P26" s="65">
        <f t="shared" si="11"/>
        <v>26.0446197460865</v>
      </c>
      <c r="Q26" s="4">
        <f t="shared" si="12"/>
        <v>191830.90446283453</v>
      </c>
      <c r="R26" s="4">
        <f t="shared" si="13"/>
        <v>85657.335980850403</v>
      </c>
      <c r="S26" s="4">
        <v>24</v>
      </c>
      <c r="T26" s="4">
        <f t="shared" si="14"/>
        <v>3289.6669710778096</v>
      </c>
      <c r="U26" s="4">
        <f t="shared" si="15"/>
        <v>2240.8625389936024</v>
      </c>
      <c r="V26" s="4">
        <f t="shared" si="16"/>
        <v>1.4145567975634581</v>
      </c>
      <c r="W26" s="9">
        <f t="shared" si="17"/>
        <v>0.96357089176724808</v>
      </c>
      <c r="X26" s="55">
        <f t="shared" si="18"/>
        <v>0.21363552223023707</v>
      </c>
      <c r="Y26">
        <f t="shared" si="19"/>
        <v>103692.38079072136</v>
      </c>
      <c r="Z26">
        <f t="shared" si="20"/>
        <v>46301.262692351564</v>
      </c>
      <c r="AA26">
        <f t="shared" si="10"/>
        <v>1778.1983627447619</v>
      </c>
      <c r="AC26" s="68" t="s">
        <v>156</v>
      </c>
      <c r="AD26" s="68"/>
    </row>
    <row r="27" spans="3:30" x14ac:dyDescent="0.4">
      <c r="C27" s="10">
        <v>46</v>
      </c>
      <c r="D27" s="4">
        <v>394.76000000000005</v>
      </c>
      <c r="E27" s="4">
        <v>115.99128473915161</v>
      </c>
      <c r="F27" s="4">
        <v>269747.17381198046</v>
      </c>
      <c r="G27">
        <v>817.31975931310058</v>
      </c>
      <c r="H27" s="4">
        <v>3.5144749650463325E-2</v>
      </c>
      <c r="I27" s="10">
        <v>46</v>
      </c>
      <c r="J27" s="4">
        <v>394.76000000000005</v>
      </c>
      <c r="K27" s="4">
        <v>60.099240915878539</v>
      </c>
      <c r="L27" s="4">
        <v>139765.67654855474</v>
      </c>
      <c r="M27" s="4">
        <v>386.52978255245301</v>
      </c>
      <c r="N27" s="4">
        <v>0.16620780649755479</v>
      </c>
      <c r="O27" s="64">
        <f t="shared" si="9"/>
        <v>88.045262827515074</v>
      </c>
      <c r="P27" s="65">
        <f t="shared" si="11"/>
        <v>27.946021911636521</v>
      </c>
      <c r="Q27" s="4">
        <f t="shared" si="12"/>
        <v>204756.4251802676</v>
      </c>
      <c r="R27" s="4">
        <f t="shared" si="13"/>
        <v>91910.798143748994</v>
      </c>
      <c r="S27" s="4">
        <v>46</v>
      </c>
      <c r="T27" s="4">
        <f t="shared" si="14"/>
        <v>601.92477093277682</v>
      </c>
      <c r="U27" s="4">
        <f t="shared" si="15"/>
        <v>304.61451383464907</v>
      </c>
      <c r="V27" s="4">
        <f t="shared" si="16"/>
        <v>0.10067627807400906</v>
      </c>
      <c r="W27" s="9">
        <f t="shared" si="17"/>
        <v>9.2675576259616338E-2</v>
      </c>
      <c r="X27" s="55">
        <f t="shared" si="18"/>
        <v>3.9089826998326277E-2</v>
      </c>
      <c r="Y27">
        <f t="shared" si="19"/>
        <v>110679.14874609059</v>
      </c>
      <c r="Z27">
        <f t="shared" si="20"/>
        <v>49681.512510134591</v>
      </c>
      <c r="AA27">
        <f t="shared" si="10"/>
        <v>325.36474104474422</v>
      </c>
      <c r="AC27" s="59" t="s">
        <v>158</v>
      </c>
      <c r="AD27" s="59"/>
    </row>
    <row r="28" spans="3:30" ht="15" thickBot="1" x14ac:dyDescent="0.45">
      <c r="C28" s="17">
        <v>48</v>
      </c>
      <c r="D28" s="11">
        <v>411.88</v>
      </c>
      <c r="E28" s="11">
        <v>115.47723642172524</v>
      </c>
      <c r="F28" s="11">
        <v>268551.71260866337</v>
      </c>
      <c r="G28">
        <v>-597.73060165857225</v>
      </c>
      <c r="H28" s="11">
        <v>-2.5702415871318607E-2</v>
      </c>
      <c r="I28" s="17">
        <v>48</v>
      </c>
      <c r="J28" s="11">
        <v>411.88</v>
      </c>
      <c r="K28" s="11">
        <v>59.565007037297676</v>
      </c>
      <c r="L28" s="11">
        <v>138523.27217976205</v>
      </c>
      <c r="M28" s="11">
        <v>-621.202184396353</v>
      </c>
      <c r="N28" s="11">
        <v>-0.26711693929043179</v>
      </c>
      <c r="O28" s="66">
        <f t="shared" si="9"/>
        <v>87.521121729511464</v>
      </c>
      <c r="P28" s="65">
        <f t="shared" si="11"/>
        <v>27.956114692213752</v>
      </c>
      <c r="Q28" s="11">
        <f t="shared" si="12"/>
        <v>203537.49239421269</v>
      </c>
      <c r="R28" s="11">
        <f t="shared" si="13"/>
        <v>91943.99197438726</v>
      </c>
      <c r="S28" s="11">
        <v>48</v>
      </c>
      <c r="T28" s="11">
        <f t="shared" si="14"/>
        <v>-609.46639302746257</v>
      </c>
      <c r="U28" s="11">
        <f t="shared" si="15"/>
        <v>16.596915319065879</v>
      </c>
      <c r="V28" s="11">
        <f t="shared" si="16"/>
        <v>-0.1464096775808752</v>
      </c>
      <c r="W28" s="12">
        <f t="shared" si="17"/>
        <v>0.17070584658657351</v>
      </c>
      <c r="X28" s="55">
        <f t="shared" si="18"/>
        <v>-3.9579590366115878E-2</v>
      </c>
      <c r="Y28">
        <f t="shared" si="19"/>
        <v>110020.26615903388</v>
      </c>
      <c r="Z28">
        <f t="shared" si="20"/>
        <v>49699.455121290412</v>
      </c>
      <c r="AA28">
        <f t="shared" si="10"/>
        <v>-329.44129352835813</v>
      </c>
      <c r="AC28" s="59">
        <f>37.95/1000*2.86/1/44400*1000*1000</f>
        <v>2.4445270270270272</v>
      </c>
      <c r="AD28" s="59" t="s">
        <v>159</v>
      </c>
    </row>
    <row r="29" spans="3:30" x14ac:dyDescent="0.4">
      <c r="O29" s="61"/>
    </row>
    <row r="30" spans="3:30" x14ac:dyDescent="0.4">
      <c r="O30" s="67" t="s">
        <v>48</v>
      </c>
      <c r="P30" s="67"/>
      <c r="Y30">
        <f>75000+146000</f>
        <v>221000</v>
      </c>
    </row>
    <row r="31" spans="3:30" x14ac:dyDescent="0.4">
      <c r="O31" s="67" t="s">
        <v>165</v>
      </c>
      <c r="P31" s="67"/>
      <c r="Y31">
        <f>Y30/2</f>
        <v>110500</v>
      </c>
    </row>
    <row r="32" spans="3:30" x14ac:dyDescent="0.4">
      <c r="O32" s="67">
        <f>(O18*0.0056)-0.0045</f>
        <v>-4.4999999999999997E-3</v>
      </c>
      <c r="P32" s="67"/>
    </row>
    <row r="33" spans="15:16" x14ac:dyDescent="0.4">
      <c r="O33" s="67">
        <f t="shared" ref="O33:O42" si="21">(O19*0.0056)-0.0045</f>
        <v>3.257959230590065E-2</v>
      </c>
      <c r="P33" s="67"/>
    </row>
    <row r="34" spans="15:16" x14ac:dyDescent="0.4">
      <c r="O34" s="67">
        <f t="shared" si="21"/>
        <v>4.4709181950935775E-2</v>
      </c>
      <c r="P34" s="67"/>
    </row>
    <row r="35" spans="15:16" x14ac:dyDescent="0.4">
      <c r="O35" s="67">
        <f t="shared" si="21"/>
        <v>6.0978023933448998E-2</v>
      </c>
      <c r="P35" s="67"/>
    </row>
    <row r="36" spans="15:16" x14ac:dyDescent="0.4">
      <c r="O36" s="67">
        <f t="shared" si="21"/>
        <v>8.3847508575969981E-2</v>
      </c>
      <c r="P36" s="67"/>
    </row>
    <row r="37" spans="15:16" x14ac:dyDescent="0.4">
      <c r="O37" s="67">
        <f t="shared" si="21"/>
        <v>0.43228020455660932</v>
      </c>
      <c r="P37" s="67"/>
    </row>
    <row r="38" spans="15:16" x14ac:dyDescent="0.4">
      <c r="O38" s="67">
        <f t="shared" si="21"/>
        <v>0.43742556048825137</v>
      </c>
      <c r="P38" s="67"/>
    </row>
    <row r="39" spans="15:16" x14ac:dyDescent="0.4">
      <c r="O39" s="67">
        <f t="shared" si="21"/>
        <v>0.44158578181379476</v>
      </c>
      <c r="P39" s="67"/>
    </row>
    <row r="40" spans="15:16" x14ac:dyDescent="0.4">
      <c r="O40" s="67">
        <f t="shared" si="21"/>
        <v>0.45742881794650558</v>
      </c>
      <c r="P40" s="67"/>
    </row>
    <row r="41" spans="15:16" x14ac:dyDescent="0.4">
      <c r="O41" s="67">
        <f t="shared" si="21"/>
        <v>0.48855347183408443</v>
      </c>
      <c r="P41" s="67"/>
    </row>
    <row r="42" spans="15:16" x14ac:dyDescent="0.4">
      <c r="O42" s="67">
        <f t="shared" si="21"/>
        <v>0.48561828168526416</v>
      </c>
      <c r="P42" s="67"/>
    </row>
    <row r="43" spans="15:16" x14ac:dyDescent="0.4">
      <c r="O43" s="21"/>
    </row>
    <row r="44" spans="15:16" x14ac:dyDescent="0.4">
      <c r="O44" s="21"/>
    </row>
    <row r="45" spans="15:16" x14ac:dyDescent="0.4">
      <c r="O45" s="21"/>
    </row>
  </sheetData>
  <mergeCells count="2">
    <mergeCell ref="AC22:AD22"/>
    <mergeCell ref="AC26:AD26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9911BB-AC3A-40C4-825D-6C97CBB2AF8F}">
  <dimension ref="B1:W44"/>
  <sheetViews>
    <sheetView zoomScale="53" zoomScaleNormal="58" workbookViewId="0">
      <selection activeCell="R33" sqref="R33:R43"/>
    </sheetView>
  </sheetViews>
  <sheetFormatPr defaultRowHeight="14.6" x14ac:dyDescent="0.4"/>
  <sheetData>
    <row r="1" spans="2:23" ht="15" thickBot="1" x14ac:dyDescent="0.45"/>
    <row r="2" spans="2:23" ht="15" thickBot="1" x14ac:dyDescent="0.45">
      <c r="B2" s="45" t="s">
        <v>135</v>
      </c>
      <c r="C2" s="46"/>
      <c r="D2" s="46"/>
      <c r="E2" s="46"/>
      <c r="F2" s="46"/>
      <c r="G2" s="46"/>
      <c r="H2" s="46"/>
      <c r="I2" s="47"/>
      <c r="J2" s="45" t="s">
        <v>137</v>
      </c>
      <c r="K2" s="46"/>
      <c r="L2" s="46"/>
      <c r="M2" s="46"/>
      <c r="N2" s="46"/>
      <c r="O2" s="47"/>
      <c r="P2" s="45" t="s">
        <v>138</v>
      </c>
      <c r="Q2" s="46"/>
      <c r="R2" s="46"/>
      <c r="S2" s="46"/>
      <c r="T2" s="46"/>
      <c r="U2" s="47"/>
      <c r="V2" s="60" t="s">
        <v>163</v>
      </c>
      <c r="W2" s="60"/>
    </row>
    <row r="3" spans="2:23" x14ac:dyDescent="0.4">
      <c r="B3" s="6" t="s">
        <v>46</v>
      </c>
      <c r="C3" s="7"/>
      <c r="D3" s="7"/>
      <c r="E3" s="7"/>
      <c r="F3" s="7"/>
      <c r="G3" s="7"/>
      <c r="H3" s="7"/>
      <c r="I3" s="8"/>
      <c r="J3" s="6" t="s">
        <v>136</v>
      </c>
      <c r="K3" s="7"/>
      <c r="L3" s="7"/>
      <c r="M3" s="7"/>
      <c r="N3" s="7"/>
      <c r="O3" s="8"/>
      <c r="P3" s="6" t="s">
        <v>46</v>
      </c>
      <c r="Q3" s="7"/>
      <c r="R3" s="7"/>
      <c r="S3" s="7"/>
      <c r="T3" s="7"/>
      <c r="U3" s="8"/>
      <c r="V3" s="60"/>
      <c r="W3" s="60"/>
    </row>
    <row r="4" spans="2:23" x14ac:dyDescent="0.4">
      <c r="B4" s="10" t="s">
        <v>49</v>
      </c>
      <c r="C4" s="4" t="s">
        <v>6</v>
      </c>
      <c r="D4" s="4" t="s">
        <v>9</v>
      </c>
      <c r="E4" s="4" t="s">
        <v>6</v>
      </c>
      <c r="F4" s="4" t="s">
        <v>15</v>
      </c>
      <c r="G4" s="4" t="s">
        <v>6</v>
      </c>
      <c r="H4" s="4" t="s">
        <v>53</v>
      </c>
      <c r="I4" s="9" t="s">
        <v>6</v>
      </c>
      <c r="J4" s="10" t="s">
        <v>14</v>
      </c>
      <c r="K4" s="4" t="s">
        <v>16</v>
      </c>
      <c r="L4" s="4" t="s">
        <v>49</v>
      </c>
      <c r="M4" s="4" t="s">
        <v>9</v>
      </c>
      <c r="N4" s="4" t="s">
        <v>15</v>
      </c>
      <c r="O4" s="9" t="s">
        <v>53</v>
      </c>
      <c r="P4" s="10" t="s">
        <v>14</v>
      </c>
      <c r="Q4" s="4" t="s">
        <v>16</v>
      </c>
      <c r="R4" s="4" t="s">
        <v>49</v>
      </c>
      <c r="S4" s="4" t="s">
        <v>9</v>
      </c>
      <c r="T4" s="4" t="s">
        <v>15</v>
      </c>
      <c r="U4" s="9" t="s">
        <v>53</v>
      </c>
      <c r="V4" s="15" t="s">
        <v>9</v>
      </c>
      <c r="W4" t="s">
        <v>6</v>
      </c>
    </row>
    <row r="5" spans="2:23" x14ac:dyDescent="0.4">
      <c r="B5" s="10">
        <v>0</v>
      </c>
      <c r="C5" s="4">
        <v>0</v>
      </c>
      <c r="D5" s="4">
        <v>0</v>
      </c>
      <c r="E5" s="4">
        <v>0</v>
      </c>
      <c r="F5" s="4">
        <v>0</v>
      </c>
      <c r="G5" s="4">
        <v>0</v>
      </c>
      <c r="H5" s="4">
        <v>0</v>
      </c>
      <c r="I5" s="9">
        <v>0</v>
      </c>
      <c r="J5" s="10">
        <v>0</v>
      </c>
      <c r="K5" s="4">
        <v>1</v>
      </c>
      <c r="L5" s="4">
        <v>0</v>
      </c>
      <c r="M5" s="4">
        <v>0</v>
      </c>
      <c r="N5" s="4">
        <v>0</v>
      </c>
      <c r="O5" s="9">
        <v>0</v>
      </c>
      <c r="P5" s="10">
        <v>0</v>
      </c>
      <c r="Q5" s="4">
        <v>1</v>
      </c>
      <c r="R5" s="4">
        <v>0</v>
      </c>
      <c r="S5" s="4">
        <v>0</v>
      </c>
      <c r="T5" s="4">
        <v>0</v>
      </c>
      <c r="U5" s="9">
        <v>0</v>
      </c>
      <c r="V5">
        <v>0</v>
      </c>
      <c r="W5">
        <v>0</v>
      </c>
    </row>
    <row r="6" spans="2:23" x14ac:dyDescent="0.4">
      <c r="B6" s="10">
        <v>19.186740174771682</v>
      </c>
      <c r="C6" s="4">
        <v>16.52246315927664</v>
      </c>
      <c r="D6" s="4">
        <v>7863.4181044146235</v>
      </c>
      <c r="E6" s="4">
        <v>6771.5012947855084</v>
      </c>
      <c r="F6" s="4">
        <v>7863.4181044146235</v>
      </c>
      <c r="G6" s="4">
        <v>6771.5012947855084</v>
      </c>
      <c r="H6" s="4">
        <v>19.186740174771682</v>
      </c>
      <c r="I6" s="9">
        <v>16.52246315927664</v>
      </c>
      <c r="J6" s="10">
        <v>1</v>
      </c>
      <c r="K6" s="4">
        <v>9.56</v>
      </c>
      <c r="L6" s="4">
        <v>14.651967930029159</v>
      </c>
      <c r="M6" s="4">
        <v>6004.9048893562131</v>
      </c>
      <c r="N6" s="4">
        <v>6004.9048893562131</v>
      </c>
      <c r="O6" s="9">
        <v>14.651967930029159</v>
      </c>
      <c r="P6" s="10">
        <v>1</v>
      </c>
      <c r="Q6" s="4">
        <v>9.56</v>
      </c>
      <c r="R6" s="4">
        <v>47.446488950609826</v>
      </c>
      <c r="S6" s="4">
        <v>19445.282356807307</v>
      </c>
      <c r="T6" s="4">
        <v>19445.282356807307</v>
      </c>
      <c r="U6" s="9">
        <v>47.446488950609826</v>
      </c>
      <c r="V6">
        <v>7863.4181044146235</v>
      </c>
      <c r="W6">
        <v>6771.5012947855084</v>
      </c>
    </row>
    <row r="7" spans="2:23" x14ac:dyDescent="0.4">
      <c r="B7" s="10">
        <v>28.625103374772333</v>
      </c>
      <c r="C7" s="4">
        <v>19.199978568930401</v>
      </c>
      <c r="D7" s="4">
        <v>11731.599743759154</v>
      </c>
      <c r="E7" s="4">
        <v>7868.8436757911486</v>
      </c>
      <c r="F7" s="4">
        <v>3868.1816393445297</v>
      </c>
      <c r="G7" s="4">
        <v>1097.3423810056431</v>
      </c>
      <c r="H7" s="4">
        <v>9.4383632000006514</v>
      </c>
      <c r="I7" s="9">
        <v>2.6775154096537692</v>
      </c>
      <c r="J7" s="10">
        <v>2</v>
      </c>
      <c r="K7" s="4">
        <v>18.12</v>
      </c>
      <c r="L7" s="4">
        <v>15.348084886128365</v>
      </c>
      <c r="M7" s="4">
        <v>6290.1987238231004</v>
      </c>
      <c r="N7" s="4">
        <v>285.29383446688809</v>
      </c>
      <c r="O7" s="9">
        <v>0.69611695609920687</v>
      </c>
      <c r="P7" s="10">
        <v>2</v>
      </c>
      <c r="Q7" s="4">
        <v>18.12</v>
      </c>
      <c r="R7" s="4">
        <v>56.301616057050836</v>
      </c>
      <c r="S7" s="4">
        <v>23074.432810266739</v>
      </c>
      <c r="T7" s="4">
        <v>3629.1504534594305</v>
      </c>
      <c r="U7" s="9">
        <v>8.8551271064410102</v>
      </c>
      <c r="V7">
        <v>11731.599743759154</v>
      </c>
      <c r="W7">
        <v>7868.8436757911486</v>
      </c>
    </row>
    <row r="8" spans="2:23" x14ac:dyDescent="0.4">
      <c r="B8" s="10">
        <v>39.276472326019615</v>
      </c>
      <c r="C8" s="4">
        <v>16.728604904472391</v>
      </c>
      <c r="D8" s="4">
        <v>16096.914887712956</v>
      </c>
      <c r="E8" s="4">
        <v>6855.9856165870506</v>
      </c>
      <c r="F8" s="4">
        <v>4365.3151439538033</v>
      </c>
      <c r="G8" s="4">
        <v>1012.8580592040998</v>
      </c>
      <c r="H8" s="4">
        <v>10.65136895124728</v>
      </c>
      <c r="I8" s="9">
        <v>2.4713736644580129</v>
      </c>
      <c r="J8" s="10">
        <v>3</v>
      </c>
      <c r="K8" s="4">
        <v>26.68</v>
      </c>
      <c r="L8" s="4">
        <v>16.513667783829074</v>
      </c>
      <c r="M8" s="4">
        <v>6767.8966327168337</v>
      </c>
      <c r="N8" s="4">
        <v>477.6979088937332</v>
      </c>
      <c r="O8" s="9">
        <v>1.165582897700709</v>
      </c>
      <c r="P8" s="10">
        <v>3</v>
      </c>
      <c r="Q8" s="4">
        <v>26.68</v>
      </c>
      <c r="R8" s="4">
        <v>59.929228380315337</v>
      </c>
      <c r="S8" s="4">
        <v>24561.159172260384</v>
      </c>
      <c r="T8" s="4">
        <v>1486.7263619936477</v>
      </c>
      <c r="U8" s="9">
        <v>3.6276123232645006</v>
      </c>
      <c r="V8">
        <v>16096.914887712956</v>
      </c>
      <c r="W8">
        <v>6855.9856165870506</v>
      </c>
    </row>
    <row r="9" spans="2:23" x14ac:dyDescent="0.4">
      <c r="B9" s="10">
        <v>44.66981538665042</v>
      </c>
      <c r="C9" s="4">
        <v>15.917044132392244</v>
      </c>
      <c r="D9" s="4">
        <v>18307.301387971485</v>
      </c>
      <c r="E9" s="4">
        <v>6523.3787427836987</v>
      </c>
      <c r="F9" s="4">
        <v>2210.3865002585276</v>
      </c>
      <c r="G9" s="4">
        <v>332.60687380334531</v>
      </c>
      <c r="H9" s="4">
        <v>5.3933430606308068</v>
      </c>
      <c r="I9" s="9">
        <v>0.81156077208015787</v>
      </c>
      <c r="J9" s="10">
        <v>4</v>
      </c>
      <c r="K9" s="4">
        <v>35.24</v>
      </c>
      <c r="L9" s="4">
        <v>17.349172719935432</v>
      </c>
      <c r="M9" s="4">
        <v>7110.3166884981283</v>
      </c>
      <c r="N9" s="4">
        <v>342.42005578129391</v>
      </c>
      <c r="O9" s="9">
        <v>0.83550493610635712</v>
      </c>
      <c r="P9" s="10">
        <v>4</v>
      </c>
      <c r="Q9" s="4">
        <v>35.24</v>
      </c>
      <c r="R9" s="4">
        <v>61.889941989921482</v>
      </c>
      <c r="S9" s="4">
        <v>25364.730323738313</v>
      </c>
      <c r="T9" s="4">
        <v>803.57115147792842</v>
      </c>
      <c r="U9" s="9">
        <v>1.9607136096061453</v>
      </c>
      <c r="V9">
        <v>18307.301387971485</v>
      </c>
      <c r="W9">
        <v>6523.3787427836987</v>
      </c>
    </row>
    <row r="10" spans="2:23" x14ac:dyDescent="0.4">
      <c r="B10" s="10">
        <v>98.536537747811849</v>
      </c>
      <c r="C10" s="4">
        <v>16.01941413475835</v>
      </c>
      <c r="D10" s="4">
        <v>40383.826945824527</v>
      </c>
      <c r="E10" s="4">
        <v>6565.3336617862615</v>
      </c>
      <c r="F10" s="4">
        <v>1495.8759646842232</v>
      </c>
      <c r="G10" s="4">
        <v>820.33025906850355</v>
      </c>
      <c r="H10" s="4">
        <v>3.6499373538295048</v>
      </c>
      <c r="I10" s="9">
        <v>2.0016058321271477</v>
      </c>
      <c r="J10" s="10">
        <v>18</v>
      </c>
      <c r="K10" s="4">
        <v>155.08000000000001</v>
      </c>
      <c r="L10" s="4">
        <v>24.121614242027082</v>
      </c>
      <c r="M10" s="4">
        <v>9885.9074762406071</v>
      </c>
      <c r="N10" s="4">
        <v>198.25648483874855</v>
      </c>
      <c r="O10" s="9">
        <v>6.7724415220916505</v>
      </c>
      <c r="P10" s="10">
        <v>18</v>
      </c>
      <c r="Q10" s="4">
        <v>155.08000000000001</v>
      </c>
      <c r="R10" s="4">
        <v>68.403475711892796</v>
      </c>
      <c r="S10" s="4">
        <v>28034.211357333115</v>
      </c>
      <c r="T10" s="4">
        <v>190.67721668534293</v>
      </c>
      <c r="U10" s="9">
        <v>6.5135337219713136</v>
      </c>
      <c r="V10">
        <v>40383.826945824527</v>
      </c>
      <c r="W10">
        <v>6565.3336617862615</v>
      </c>
    </row>
    <row r="11" spans="2:23" x14ac:dyDescent="0.4">
      <c r="B11" s="10">
        <v>97.35422309754702</v>
      </c>
      <c r="C11" s="4">
        <v>17.785619927028595</v>
      </c>
      <c r="D11" s="4">
        <v>39899.271761289769</v>
      </c>
      <c r="E11" s="4">
        <v>7289.1884946838391</v>
      </c>
      <c r="F11" s="4">
        <v>-242.27759226737999</v>
      </c>
      <c r="G11" s="4">
        <v>361.92741644880243</v>
      </c>
      <c r="H11" s="4">
        <v>-0.59115732513240715</v>
      </c>
      <c r="I11" s="9">
        <v>0.88310289613507797</v>
      </c>
      <c r="J11" s="10">
        <v>20</v>
      </c>
      <c r="K11" s="4">
        <v>172.20000000000002</v>
      </c>
      <c r="L11" s="4">
        <v>23.124188311688307</v>
      </c>
      <c r="M11" s="4">
        <v>9477.1263572493062</v>
      </c>
      <c r="N11" s="4">
        <v>-204.39055949565056</v>
      </c>
      <c r="O11" s="9">
        <v>-0.99742593033877469</v>
      </c>
      <c r="P11" s="10">
        <v>20</v>
      </c>
      <c r="Q11" s="4">
        <v>172.20000000000002</v>
      </c>
      <c r="R11" s="4">
        <v>65.980765227400752</v>
      </c>
      <c r="S11" s="4">
        <v>27041.297224344573</v>
      </c>
      <c r="T11" s="4">
        <v>-496.4570664942712</v>
      </c>
      <c r="U11" s="9">
        <v>-2.4227104844920433</v>
      </c>
      <c r="V11">
        <v>39899.271761289769</v>
      </c>
      <c r="W11">
        <v>7289.1884946838391</v>
      </c>
    </row>
    <row r="12" spans="2:23" x14ac:dyDescent="0.4">
      <c r="B12" s="10">
        <v>98.62544846705805</v>
      </c>
      <c r="C12" s="4">
        <v>17.33316830513758</v>
      </c>
      <c r="D12" s="4">
        <v>40420.265765187731</v>
      </c>
      <c r="E12" s="4">
        <v>7103.7575021055063</v>
      </c>
      <c r="F12" s="4">
        <v>260.49700194898139</v>
      </c>
      <c r="G12" s="4">
        <v>92.715496289172791</v>
      </c>
      <c r="H12" s="4">
        <v>0.63561268475551458</v>
      </c>
      <c r="I12" s="9">
        <v>0.22622581094558145</v>
      </c>
      <c r="J12" s="10">
        <v>22</v>
      </c>
      <c r="K12" s="4">
        <v>189.32000000000002</v>
      </c>
      <c r="L12" s="4">
        <v>25.474624060150379</v>
      </c>
      <c r="M12" s="4">
        <v>10440.419696782943</v>
      </c>
      <c r="N12" s="4">
        <v>481.64666976681804</v>
      </c>
      <c r="O12" s="9">
        <v>0.19586964570517265</v>
      </c>
      <c r="P12" s="10">
        <v>22</v>
      </c>
      <c r="Q12" s="4">
        <v>189.32000000000002</v>
      </c>
      <c r="R12" s="4">
        <v>66.074507389162562</v>
      </c>
      <c r="S12" s="4">
        <v>27079.716143099413</v>
      </c>
      <c r="T12" s="4">
        <v>19.209459377420071</v>
      </c>
      <c r="U12" s="9">
        <v>7.8118468134841619E-3</v>
      </c>
      <c r="V12">
        <v>40420.265765187731</v>
      </c>
      <c r="W12">
        <v>7103.7575021055063</v>
      </c>
    </row>
    <row r="13" spans="2:23" x14ac:dyDescent="0.4">
      <c r="B13" s="10">
        <v>98.763317858960988</v>
      </c>
      <c r="C13" s="4">
        <v>20.634161301624225</v>
      </c>
      <c r="D13" s="4">
        <v>40476.769614328274</v>
      </c>
      <c r="E13" s="4">
        <v>8456.6234842722552</v>
      </c>
      <c r="F13" s="4">
        <v>28.251924570271427</v>
      </c>
      <c r="G13" s="4">
        <v>676.43299108337806</v>
      </c>
      <c r="H13" s="4">
        <v>6.8934695951462288E-2</v>
      </c>
      <c r="I13" s="9">
        <v>1.6504964982434425</v>
      </c>
      <c r="J13" s="10">
        <v>24</v>
      </c>
      <c r="K13" s="4">
        <v>206.44</v>
      </c>
      <c r="L13" s="4">
        <v>22.974257884972168</v>
      </c>
      <c r="M13" s="4">
        <v>9415.6794610541674</v>
      </c>
      <c r="N13" s="4">
        <v>-512.37011786438757</v>
      </c>
      <c r="O13" s="9">
        <v>-1.2501830875891056</v>
      </c>
      <c r="P13" s="10">
        <v>24</v>
      </c>
      <c r="Q13" s="4">
        <v>206.44</v>
      </c>
      <c r="R13" s="4">
        <v>66.850538160469668</v>
      </c>
      <c r="S13" s="4">
        <v>27397.761541176096</v>
      </c>
      <c r="T13" s="4">
        <v>159.02269903834136</v>
      </c>
      <c r="U13" s="9">
        <v>0.38801538565355287</v>
      </c>
      <c r="V13">
        <v>40476.769614328274</v>
      </c>
      <c r="W13">
        <v>8456.6234842722552</v>
      </c>
    </row>
    <row r="14" spans="2:23" x14ac:dyDescent="0.4">
      <c r="B14" s="10">
        <v>105.990963340809</v>
      </c>
      <c r="C14" s="4">
        <v>21.336978485473182</v>
      </c>
      <c r="D14" s="4">
        <v>43438.91940197091</v>
      </c>
      <c r="E14" s="4">
        <v>8744.6633137184872</v>
      </c>
      <c r="F14" s="4">
        <v>-243.93408283973127</v>
      </c>
      <c r="G14" s="4">
        <v>522.29636891419852</v>
      </c>
      <c r="H14" s="4">
        <v>7.8153056893758524E-2</v>
      </c>
      <c r="I14" s="9">
        <v>0.32213929975471939</v>
      </c>
      <c r="J14" s="10">
        <v>46</v>
      </c>
      <c r="K14" s="4">
        <v>394.76000000000005</v>
      </c>
      <c r="L14" s="4">
        <v>35.479651162790702</v>
      </c>
      <c r="M14" s="4">
        <v>14540.840640487993</v>
      </c>
      <c r="N14" s="4">
        <v>232.96187179244663</v>
      </c>
      <c r="O14" s="9">
        <v>6.2526966389092671</v>
      </c>
      <c r="P14" s="10">
        <v>46</v>
      </c>
      <c r="Q14" s="4">
        <v>394.76000000000005</v>
      </c>
      <c r="R14" s="4">
        <v>76.696428571428569</v>
      </c>
      <c r="S14" s="4">
        <v>31432.962529274006</v>
      </c>
      <c r="T14" s="4">
        <v>183.41822673172322</v>
      </c>
      <c r="U14" s="9">
        <v>4.9229452054794507</v>
      </c>
      <c r="V14">
        <v>43438.91940197091</v>
      </c>
      <c r="W14">
        <v>8744.6633137184872</v>
      </c>
    </row>
    <row r="15" spans="2:23" ht="15" thickBot="1" x14ac:dyDescent="0.45">
      <c r="B15" s="17">
        <v>105.33456504067081</v>
      </c>
      <c r="C15" s="11">
        <v>20.038766712419125</v>
      </c>
      <c r="D15" s="11">
        <v>43169.903705192955</v>
      </c>
      <c r="E15" s="11">
        <v>8212.60930836849</v>
      </c>
      <c r="F15" s="11">
        <v>-134.50784838897687</v>
      </c>
      <c r="G15" s="11">
        <v>266.0270026749829</v>
      </c>
      <c r="H15" s="11">
        <v>2.6034695794086106E-2</v>
      </c>
      <c r="I15" s="12">
        <v>0.14814357745565507</v>
      </c>
      <c r="J15" s="17">
        <v>48</v>
      </c>
      <c r="K15" s="11">
        <v>411.88</v>
      </c>
      <c r="L15" s="11">
        <v>37.988445378151262</v>
      </c>
      <c r="M15" s="11">
        <v>15569.034991045601</v>
      </c>
      <c r="N15" s="11">
        <v>514.09717527880321</v>
      </c>
      <c r="O15" s="12">
        <v>1.2543971076802798</v>
      </c>
      <c r="P15" s="17">
        <v>48</v>
      </c>
      <c r="Q15" s="11">
        <v>411.88</v>
      </c>
      <c r="R15" s="11">
        <v>75.838471382038165</v>
      </c>
      <c r="S15" s="11">
        <v>31081.340730343512</v>
      </c>
      <c r="T15" s="11">
        <v>-175.81089946524685</v>
      </c>
      <c r="U15" s="12">
        <v>-0.42897859469520228</v>
      </c>
      <c r="V15">
        <v>43169.903705192955</v>
      </c>
      <c r="W15">
        <v>8212.60930836849</v>
      </c>
    </row>
    <row r="16" spans="2:23" x14ac:dyDescent="0.4">
      <c r="B16" s="6" t="s">
        <v>48</v>
      </c>
      <c r="C16" s="7"/>
      <c r="D16" s="7"/>
      <c r="E16" s="7"/>
      <c r="F16" s="7"/>
      <c r="G16" s="7"/>
      <c r="H16" s="7"/>
      <c r="I16" s="8"/>
      <c r="J16" s="10" t="s">
        <v>48</v>
      </c>
      <c r="K16" s="4"/>
      <c r="L16" s="4"/>
      <c r="M16" s="4"/>
      <c r="N16" s="4"/>
      <c r="O16" s="9"/>
      <c r="P16" s="10" t="s">
        <v>48</v>
      </c>
      <c r="Q16" s="4"/>
      <c r="R16" s="4"/>
      <c r="S16" s="4"/>
      <c r="T16" s="4"/>
      <c r="U16" s="9"/>
    </row>
    <row r="17" spans="2:23" x14ac:dyDescent="0.4">
      <c r="B17" s="10" t="s">
        <v>49</v>
      </c>
      <c r="C17" s="4" t="s">
        <v>6</v>
      </c>
      <c r="D17" s="4" t="s">
        <v>134</v>
      </c>
      <c r="E17" s="4" t="s">
        <v>6</v>
      </c>
      <c r="F17" s="4" t="s">
        <v>15</v>
      </c>
      <c r="G17" s="4" t="s">
        <v>6</v>
      </c>
      <c r="H17" s="4" t="s">
        <v>53</v>
      </c>
      <c r="I17" s="9" t="s">
        <v>6</v>
      </c>
      <c r="J17" s="10" t="s">
        <v>14</v>
      </c>
      <c r="K17" s="4" t="s">
        <v>16</v>
      </c>
      <c r="L17" s="4" t="s">
        <v>49</v>
      </c>
      <c r="M17" s="4" t="s">
        <v>9</v>
      </c>
      <c r="N17" s="4" t="s">
        <v>15</v>
      </c>
      <c r="O17" s="9" t="s">
        <v>53</v>
      </c>
      <c r="P17" s="10" t="s">
        <v>14</v>
      </c>
      <c r="Q17" s="4" t="s">
        <v>16</v>
      </c>
      <c r="R17" s="4" t="s">
        <v>49</v>
      </c>
      <c r="S17" s="4" t="s">
        <v>9</v>
      </c>
      <c r="T17" s="4" t="s">
        <v>15</v>
      </c>
      <c r="U17" s="9" t="s">
        <v>53</v>
      </c>
      <c r="V17" s="15" t="s">
        <v>134</v>
      </c>
      <c r="W17" t="s">
        <v>6</v>
      </c>
    </row>
    <row r="18" spans="2:23" x14ac:dyDescent="0.4">
      <c r="B18" s="10">
        <v>0</v>
      </c>
      <c r="C18" s="4">
        <v>0</v>
      </c>
      <c r="D18" s="4">
        <v>0</v>
      </c>
      <c r="E18" s="4">
        <v>0</v>
      </c>
      <c r="F18" s="4">
        <v>0</v>
      </c>
      <c r="G18" s="4">
        <v>0</v>
      </c>
      <c r="H18" s="4">
        <v>0</v>
      </c>
      <c r="I18" s="9">
        <v>0</v>
      </c>
      <c r="J18" s="10">
        <v>0</v>
      </c>
      <c r="K18" s="4">
        <v>1</v>
      </c>
      <c r="L18" s="4">
        <v>0</v>
      </c>
      <c r="M18" s="4">
        <v>0</v>
      </c>
      <c r="N18" s="4">
        <v>0</v>
      </c>
      <c r="O18" s="9">
        <v>0</v>
      </c>
      <c r="P18" s="10">
        <v>0</v>
      </c>
      <c r="Q18" s="4">
        <v>1</v>
      </c>
      <c r="R18" s="4">
        <v>0</v>
      </c>
      <c r="S18" s="4">
        <v>0</v>
      </c>
      <c r="T18" s="4">
        <v>0</v>
      </c>
      <c r="U18" s="9">
        <v>0</v>
      </c>
      <c r="V18">
        <v>0</v>
      </c>
      <c r="W18">
        <v>0</v>
      </c>
    </row>
    <row r="19" spans="2:23" x14ac:dyDescent="0.4">
      <c r="B19" s="10">
        <v>6.6213557689108296</v>
      </c>
      <c r="C19" s="4">
        <v>3.506311713375093</v>
      </c>
      <c r="D19" s="4">
        <v>15398.501788164722</v>
      </c>
      <c r="E19" s="4">
        <v>8154.2132869188181</v>
      </c>
      <c r="F19" s="4">
        <v>15398.501788164722</v>
      </c>
      <c r="G19" s="4">
        <v>8154.2132869188181</v>
      </c>
      <c r="H19" s="4">
        <v>6.6213557689108296</v>
      </c>
      <c r="I19" s="9">
        <v>3.506311713375093</v>
      </c>
      <c r="J19" s="10">
        <v>1</v>
      </c>
      <c r="K19" s="4">
        <v>9.56</v>
      </c>
      <c r="L19" s="4">
        <v>13.076721731037692</v>
      </c>
      <c r="M19" s="4">
        <v>30410.980769855098</v>
      </c>
      <c r="N19" s="4">
        <v>30410.980769855098</v>
      </c>
      <c r="O19" s="9">
        <v>13.076721731037692</v>
      </c>
      <c r="P19" s="10">
        <v>1</v>
      </c>
      <c r="Q19" s="4">
        <v>9.56</v>
      </c>
      <c r="R19" s="4">
        <v>27.873831056970598</v>
      </c>
      <c r="S19" s="4">
        <v>64822.862923187437</v>
      </c>
      <c r="T19" s="4">
        <v>64822.862923187437</v>
      </c>
      <c r="U19" s="9">
        <v>27.873831056970598</v>
      </c>
      <c r="V19">
        <v>15398.501788164722</v>
      </c>
      <c r="W19">
        <v>8154.2132869188181</v>
      </c>
    </row>
    <row r="20" spans="2:23" x14ac:dyDescent="0.4">
      <c r="B20" s="10">
        <v>8.7873539198099593</v>
      </c>
      <c r="C20" s="4">
        <v>3.2459298061585509</v>
      </c>
      <c r="D20" s="4">
        <v>20435.706790255717</v>
      </c>
      <c r="E20" s="4">
        <v>7548.6739678106069</v>
      </c>
      <c r="F20" s="4">
        <v>5037.2050020909965</v>
      </c>
      <c r="G20" s="4">
        <v>605.53931910821848</v>
      </c>
      <c r="H20" s="4">
        <v>2.1659981508991284</v>
      </c>
      <c r="I20" s="9">
        <v>0.26038190721653393</v>
      </c>
      <c r="J20" s="10">
        <v>2</v>
      </c>
      <c r="K20" s="4">
        <v>18.12</v>
      </c>
      <c r="L20" s="4">
        <v>12.857142857142859</v>
      </c>
      <c r="M20" s="4">
        <v>29900.332225913626</v>
      </c>
      <c r="N20" s="4">
        <v>-510.64854394147056</v>
      </c>
      <c r="O20" s="9">
        <v>-0.21957887389483233</v>
      </c>
      <c r="P20" s="10">
        <v>2</v>
      </c>
      <c r="Q20" s="4">
        <v>18.12</v>
      </c>
      <c r="R20" s="4">
        <v>31.852886829031867</v>
      </c>
      <c r="S20" s="4">
        <v>74076.480997748527</v>
      </c>
      <c r="T20" s="4">
        <v>9253.6180745610909</v>
      </c>
      <c r="U20" s="9">
        <v>3.9790557720612689</v>
      </c>
      <c r="V20">
        <v>20435.706790255717</v>
      </c>
      <c r="W20">
        <v>7548.6739678106069</v>
      </c>
    </row>
    <row r="21" spans="2:23" x14ac:dyDescent="0.4">
      <c r="B21" s="10">
        <v>11.692504273830178</v>
      </c>
      <c r="C21" s="4">
        <v>1.5792761460744142</v>
      </c>
      <c r="D21" s="4">
        <v>27191.870404256231</v>
      </c>
      <c r="E21" s="4">
        <v>3672.7352234288719</v>
      </c>
      <c r="F21" s="4">
        <v>6756.1636140005121</v>
      </c>
      <c r="G21" s="4">
        <v>3875.9387443817291</v>
      </c>
      <c r="H21" s="4">
        <v>2.9051503540202201</v>
      </c>
      <c r="I21" s="9">
        <v>1.666653660084144</v>
      </c>
      <c r="J21" s="10">
        <v>3</v>
      </c>
      <c r="K21" s="4">
        <v>26.68</v>
      </c>
      <c r="L21" s="4">
        <v>13.378215434083602</v>
      </c>
      <c r="M21" s="4">
        <v>31112.128916473495</v>
      </c>
      <c r="N21" s="4">
        <v>1211.7966905598662</v>
      </c>
      <c r="O21" s="9">
        <v>0.52107257694074249</v>
      </c>
      <c r="P21" s="10">
        <v>3</v>
      </c>
      <c r="Q21" s="4">
        <v>26.68</v>
      </c>
      <c r="R21" s="4">
        <v>33.257121323981792</v>
      </c>
      <c r="S21" s="4">
        <v>77342.142613911143</v>
      </c>
      <c r="T21" s="4">
        <v>3265.6616161626171</v>
      </c>
      <c r="U21" s="9">
        <v>1.4042344949499252</v>
      </c>
      <c r="V21">
        <v>27191.870404256231</v>
      </c>
      <c r="W21">
        <v>3672.7352234288719</v>
      </c>
    </row>
    <row r="22" spans="2:23" x14ac:dyDescent="0.4">
      <c r="B22" s="10">
        <v>15.776340817137498</v>
      </c>
      <c r="C22" s="4">
        <v>9.9839975806669343E-3</v>
      </c>
      <c r="D22" s="4">
        <v>36689.164691017431</v>
      </c>
      <c r="E22" s="4">
        <v>23.218599024805634</v>
      </c>
      <c r="F22" s="4">
        <v>9497.2942867612073</v>
      </c>
      <c r="G22" s="4">
        <v>3649.5166244040652</v>
      </c>
      <c r="H22" s="4">
        <v>4.0838365433073189</v>
      </c>
      <c r="I22" s="9">
        <v>1.5692921484937457</v>
      </c>
      <c r="J22" s="10">
        <v>4</v>
      </c>
      <c r="K22" s="4">
        <v>35.24</v>
      </c>
      <c r="L22" s="4">
        <v>13.967145015105739</v>
      </c>
      <c r="M22" s="4">
        <v>32481.73259326916</v>
      </c>
      <c r="N22" s="4">
        <v>1369.6036767956682</v>
      </c>
      <c r="O22" s="9">
        <v>0.58892958102213733</v>
      </c>
      <c r="P22" s="10">
        <v>4</v>
      </c>
      <c r="Q22" s="4">
        <v>35.24</v>
      </c>
      <c r="R22" s="4">
        <v>33.506175468483818</v>
      </c>
      <c r="S22" s="4">
        <v>77921.338298799572</v>
      </c>
      <c r="T22" s="4">
        <v>579.19568488843151</v>
      </c>
      <c r="U22" s="9">
        <v>0.24905414450202557</v>
      </c>
      <c r="V22">
        <v>36689.164691017431</v>
      </c>
      <c r="W22">
        <v>23.218599024805634</v>
      </c>
    </row>
    <row r="23" spans="2:23" x14ac:dyDescent="0.4">
      <c r="B23" s="10">
        <v>77.996465099394527</v>
      </c>
      <c r="C23" s="4">
        <v>32.563349459988494</v>
      </c>
      <c r="D23" s="4">
        <v>181387.12813812681</v>
      </c>
      <c r="E23" s="4">
        <v>75728.719674391934</v>
      </c>
      <c r="F23" s="4">
        <v>10290.267986975477</v>
      </c>
      <c r="G23" s="4">
        <v>5343.4707419700317</v>
      </c>
      <c r="H23" s="4">
        <v>4.4248152343994551</v>
      </c>
      <c r="I23" s="9">
        <v>2.2976924190471126</v>
      </c>
      <c r="J23" s="10">
        <v>18</v>
      </c>
      <c r="K23" s="4">
        <v>155.08000000000001</v>
      </c>
      <c r="L23" s="4">
        <v>20.228112404836544</v>
      </c>
      <c r="M23" s="4">
        <v>47042.121871712894</v>
      </c>
      <c r="N23" s="4">
        <v>1040.0278056031236</v>
      </c>
      <c r="O23" s="9">
        <v>6.2609673897308049</v>
      </c>
      <c r="P23" s="10">
        <v>18</v>
      </c>
      <c r="Q23" s="4">
        <v>155.08000000000001</v>
      </c>
      <c r="R23" s="4">
        <v>37.252718988830097</v>
      </c>
      <c r="S23" s="4">
        <v>86634.230206581618</v>
      </c>
      <c r="T23" s="4">
        <v>622.34942198443173</v>
      </c>
      <c r="U23" s="9">
        <v>3.7465435203462789</v>
      </c>
      <c r="V23">
        <v>181387.12813812681</v>
      </c>
      <c r="W23">
        <v>75728.719674391934</v>
      </c>
    </row>
    <row r="24" spans="2:23" x14ac:dyDescent="0.4">
      <c r="B24" s="10">
        <v>78.915278658616316</v>
      </c>
      <c r="C24" s="4">
        <v>33.840870619755506</v>
      </c>
      <c r="D24" s="4">
        <v>183523.90385724726</v>
      </c>
      <c r="E24" s="4">
        <v>78699.699115710464</v>
      </c>
      <c r="F24" s="4">
        <v>1068.387859560228</v>
      </c>
      <c r="G24" s="4">
        <v>1485.4897206592987</v>
      </c>
      <c r="H24" s="4">
        <v>0.45940677961089804</v>
      </c>
      <c r="I24" s="9">
        <v>0.63876057988349844</v>
      </c>
      <c r="J24" s="10">
        <v>20</v>
      </c>
      <c r="K24" s="4">
        <v>172.20000000000002</v>
      </c>
      <c r="L24" s="4">
        <v>19.884557344064387</v>
      </c>
      <c r="M24" s="4">
        <v>46243.156614103224</v>
      </c>
      <c r="N24" s="4">
        <v>-399.48262880483418</v>
      </c>
      <c r="O24" s="9">
        <v>-0.34355506077215736</v>
      </c>
      <c r="P24" s="10">
        <v>20</v>
      </c>
      <c r="Q24" s="4">
        <v>172.20000000000002</v>
      </c>
      <c r="R24" s="4">
        <v>35.677866683489526</v>
      </c>
      <c r="S24" s="4">
        <v>82971.782984859368</v>
      </c>
      <c r="T24" s="4">
        <v>-1831.2236108611285</v>
      </c>
      <c r="U24" s="9">
        <v>-1.5748523053405705</v>
      </c>
      <c r="V24">
        <v>183523.90385724726</v>
      </c>
      <c r="W24">
        <v>78699.699115710464</v>
      </c>
    </row>
    <row r="25" spans="2:23" x14ac:dyDescent="0.4">
      <c r="B25" s="10">
        <v>79.658175323891925</v>
      </c>
      <c r="C25" s="4">
        <v>34.905512688231191</v>
      </c>
      <c r="D25" s="4">
        <v>185251.57052067891</v>
      </c>
      <c r="E25" s="4">
        <v>81175.610902863191</v>
      </c>
      <c r="F25" s="4">
        <v>863.83333171583251</v>
      </c>
      <c r="G25" s="4">
        <v>1237.9558935763328</v>
      </c>
      <c r="H25" s="4">
        <v>0.37144833263780797</v>
      </c>
      <c r="I25" s="9">
        <v>0.53232103423782307</v>
      </c>
      <c r="J25" s="10">
        <v>22</v>
      </c>
      <c r="K25" s="4">
        <v>189.32000000000002</v>
      </c>
      <c r="L25" s="4">
        <v>20.208333333333332</v>
      </c>
      <c r="M25" s="4">
        <v>46996.124031007748</v>
      </c>
      <c r="N25" s="4">
        <v>376.48370845226202</v>
      </c>
      <c r="O25" s="9">
        <v>2.6981332439078781E-2</v>
      </c>
      <c r="P25" s="10">
        <v>22</v>
      </c>
      <c r="Q25" s="4">
        <v>189.32000000000002</v>
      </c>
      <c r="R25" s="4">
        <v>36.915946314831665</v>
      </c>
      <c r="S25" s="4">
        <v>85851.037941468996</v>
      </c>
      <c r="T25" s="4">
        <v>1439.6274783048123</v>
      </c>
      <c r="U25" s="9">
        <v>0.10317330261184487</v>
      </c>
      <c r="V25">
        <v>185251.57052067891</v>
      </c>
      <c r="W25">
        <v>81175.610902863191</v>
      </c>
    </row>
    <row r="26" spans="2:23" x14ac:dyDescent="0.4">
      <c r="B26" s="10">
        <v>82.487288919018852</v>
      </c>
      <c r="C26" s="4">
        <v>36.832654471765643</v>
      </c>
      <c r="D26" s="4">
        <v>191830.90446283453</v>
      </c>
      <c r="E26" s="4">
        <v>85657.335980850403</v>
      </c>
      <c r="F26" s="4">
        <v>3289.6669710778096</v>
      </c>
      <c r="G26" s="4">
        <v>2240.8625389936024</v>
      </c>
      <c r="H26" s="4">
        <v>1.4145567975634581</v>
      </c>
      <c r="I26" s="9">
        <v>0.96357089176724808</v>
      </c>
      <c r="J26" s="10">
        <v>24</v>
      </c>
      <c r="K26" s="4">
        <v>206.44</v>
      </c>
      <c r="L26" s="4">
        <v>21.147151898734176</v>
      </c>
      <c r="M26" s="4">
        <v>49179.423020312039</v>
      </c>
      <c r="N26" s="4">
        <v>1091.6494946521441</v>
      </c>
      <c r="O26" s="9">
        <v>0.46940928270042193</v>
      </c>
      <c r="P26" s="10">
        <v>24</v>
      </c>
      <c r="Q26" s="4">
        <v>206.44</v>
      </c>
      <c r="R26" s="4">
        <v>25.377621231979028</v>
      </c>
      <c r="S26" s="4">
        <v>59017.723795300066</v>
      </c>
      <c r="T26" s="4">
        <v>-13416.657073084461</v>
      </c>
      <c r="U26" s="9">
        <v>-5.7691625414263186</v>
      </c>
      <c r="V26">
        <v>191830.90446283453</v>
      </c>
      <c r="W26">
        <v>85657.335980850403</v>
      </c>
    </row>
    <row r="27" spans="2:23" x14ac:dyDescent="0.4">
      <c r="B27" s="10">
        <v>88.045262827515074</v>
      </c>
      <c r="C27" s="4">
        <v>39.521643201812061</v>
      </c>
      <c r="D27" s="4">
        <v>204756.4251802676</v>
      </c>
      <c r="E27" s="4">
        <v>91910.798143748994</v>
      </c>
      <c r="F27" s="4">
        <v>601.92477093277682</v>
      </c>
      <c r="G27" s="4">
        <v>304.61451383464907</v>
      </c>
      <c r="H27" s="4">
        <v>0.10067627807400906</v>
      </c>
      <c r="I27" s="9">
        <v>9.2675576259616338E-2</v>
      </c>
      <c r="J27" s="10">
        <v>46</v>
      </c>
      <c r="K27" s="4">
        <v>394.76000000000005</v>
      </c>
      <c r="L27" s="4">
        <v>27.946428571428573</v>
      </c>
      <c r="M27" s="4">
        <v>64991.694352159473</v>
      </c>
      <c r="N27" s="4">
        <v>718.7396059930652</v>
      </c>
      <c r="O27" s="9">
        <v>3.3996383363471985</v>
      </c>
      <c r="P27" s="10">
        <v>46</v>
      </c>
      <c r="Q27" s="4">
        <v>394.76000000000005</v>
      </c>
      <c r="R27" s="4">
        <v>38.925561797752813</v>
      </c>
      <c r="S27" s="4">
        <v>90524.562320355384</v>
      </c>
      <c r="T27" s="4">
        <v>1432.1290238661506</v>
      </c>
      <c r="U27" s="9">
        <v>6.7739702828868928</v>
      </c>
      <c r="V27">
        <v>204756.4251802676</v>
      </c>
      <c r="W27">
        <v>91910.798143748994</v>
      </c>
    </row>
    <row r="28" spans="2:23" ht="15" thickBot="1" x14ac:dyDescent="0.45">
      <c r="B28" s="17">
        <v>87.521121729511464</v>
      </c>
      <c r="C28" s="11">
        <v>39.535916548986428</v>
      </c>
      <c r="D28" s="11">
        <v>203537.49239421269</v>
      </c>
      <c r="E28" s="11">
        <v>91943.99197438726</v>
      </c>
      <c r="F28" s="11">
        <v>-609.46639302746257</v>
      </c>
      <c r="G28" s="11">
        <v>16.596915319065879</v>
      </c>
      <c r="H28" s="11">
        <v>-0.1464096775808752</v>
      </c>
      <c r="I28" s="12">
        <v>0.17070584658657351</v>
      </c>
      <c r="J28" s="17">
        <v>48</v>
      </c>
      <c r="K28" s="11">
        <v>411.88</v>
      </c>
      <c r="L28" s="11">
        <v>32.157392026578073</v>
      </c>
      <c r="M28" s="11">
        <v>74784.632619949014</v>
      </c>
      <c r="N28" s="11">
        <v>4896.4691338947678</v>
      </c>
      <c r="O28" s="12">
        <v>2.1054817275747499</v>
      </c>
      <c r="P28" s="17">
        <v>48</v>
      </c>
      <c r="Q28" s="11">
        <v>411.88</v>
      </c>
      <c r="R28" s="11">
        <v>40.262096774193544</v>
      </c>
      <c r="S28" s="11">
        <v>93632.78319579894</v>
      </c>
      <c r="T28" s="11">
        <v>1554.1104377217805</v>
      </c>
      <c r="U28" s="12">
        <v>0.66826748822036564</v>
      </c>
      <c r="V28">
        <v>203537.49239421269</v>
      </c>
      <c r="W28">
        <v>91943.99197438726</v>
      </c>
    </row>
    <row r="29" spans="2:23" ht="15" thickBot="1" x14ac:dyDescent="0.45"/>
    <row r="30" spans="2:23" x14ac:dyDescent="0.4">
      <c r="B30" s="6" t="s">
        <v>160</v>
      </c>
      <c r="C30" s="7"/>
      <c r="D30" s="7"/>
      <c r="E30" s="7"/>
      <c r="F30" s="8"/>
      <c r="J30" s="6" t="s">
        <v>160</v>
      </c>
      <c r="K30" s="7"/>
      <c r="L30" s="7"/>
      <c r="M30" s="7"/>
      <c r="N30" s="8"/>
      <c r="P30" s="6" t="s">
        <v>161</v>
      </c>
      <c r="Q30" s="7"/>
      <c r="R30" s="7"/>
      <c r="S30" s="7"/>
      <c r="T30" s="8"/>
    </row>
    <row r="31" spans="2:23" x14ac:dyDescent="0.4">
      <c r="B31" s="56" t="s">
        <v>150</v>
      </c>
      <c r="C31" s="57"/>
      <c r="D31" s="57"/>
      <c r="E31" s="57"/>
      <c r="F31" s="58"/>
      <c r="J31" s="56" t="s">
        <v>152</v>
      </c>
      <c r="K31" s="57"/>
      <c r="L31" s="67" t="s">
        <v>48</v>
      </c>
      <c r="M31" s="57"/>
      <c r="N31" s="58"/>
      <c r="P31" s="56" t="s">
        <v>162</v>
      </c>
      <c r="Q31" s="57"/>
      <c r="R31" s="67" t="s">
        <v>48</v>
      </c>
      <c r="S31" s="57"/>
      <c r="T31" s="58"/>
    </row>
    <row r="32" spans="2:23" x14ac:dyDescent="0.4">
      <c r="B32" s="10" t="s">
        <v>14</v>
      </c>
      <c r="C32" s="4" t="s">
        <v>134</v>
      </c>
      <c r="D32" s="4" t="s">
        <v>6</v>
      </c>
      <c r="E32" s="4" t="s">
        <v>151</v>
      </c>
      <c r="F32" s="9" t="s">
        <v>6</v>
      </c>
      <c r="J32" s="10" t="s">
        <v>14</v>
      </c>
      <c r="K32" s="4" t="s">
        <v>134</v>
      </c>
      <c r="L32" s="67" t="s">
        <v>165</v>
      </c>
      <c r="M32" s="4" t="s">
        <v>151</v>
      </c>
      <c r="N32" s="9"/>
      <c r="P32" s="10" t="s">
        <v>14</v>
      </c>
      <c r="Q32" s="4" t="s">
        <v>134</v>
      </c>
      <c r="R32" s="67" t="s">
        <v>165</v>
      </c>
      <c r="S32" s="4" t="s">
        <v>151</v>
      </c>
      <c r="T32" s="9"/>
    </row>
    <row r="33" spans="2:20" x14ac:dyDescent="0.4">
      <c r="B33" s="10">
        <v>0</v>
      </c>
      <c r="C33" s="4">
        <f>D18/1.85</f>
        <v>0</v>
      </c>
      <c r="D33" s="4">
        <f>E18/1.85</f>
        <v>0</v>
      </c>
      <c r="E33" s="4">
        <f>F18/1.85</f>
        <v>0</v>
      </c>
      <c r="F33" s="9">
        <f>G18/1.85</f>
        <v>0</v>
      </c>
      <c r="J33" s="10">
        <v>0</v>
      </c>
      <c r="K33" s="4">
        <f>M18/1.85</f>
        <v>0</v>
      </c>
      <c r="L33" s="67">
        <f>(L18*0.0056)-0.0045</f>
        <v>-4.4999999999999997E-3</v>
      </c>
      <c r="M33" s="4">
        <f>N18/1.85</f>
        <v>0</v>
      </c>
      <c r="N33" s="9"/>
      <c r="P33" s="10">
        <v>0</v>
      </c>
      <c r="Q33" s="4">
        <f>S18/1.85</f>
        <v>0</v>
      </c>
      <c r="R33" s="67">
        <f>(R18*0.0056)-0.0045</f>
        <v>-4.4999999999999997E-3</v>
      </c>
      <c r="S33" s="4">
        <f>T18/1.85</f>
        <v>0</v>
      </c>
      <c r="T33" s="9"/>
    </row>
    <row r="34" spans="2:20" x14ac:dyDescent="0.4">
      <c r="B34" s="10">
        <v>1</v>
      </c>
      <c r="C34" s="4">
        <f t="shared" ref="C34:F34" si="0">D19/1.85</f>
        <v>8323.5144800890375</v>
      </c>
      <c r="D34" s="4">
        <f t="shared" si="0"/>
        <v>4407.6828577939559</v>
      </c>
      <c r="E34" s="4">
        <f t="shared" si="0"/>
        <v>8323.5144800890375</v>
      </c>
      <c r="F34" s="9">
        <f t="shared" si="0"/>
        <v>4407.6828577939559</v>
      </c>
      <c r="J34" s="10">
        <v>1</v>
      </c>
      <c r="K34" s="4">
        <f t="shared" ref="K34:K43" si="1">M19/1.85</f>
        <v>16438.367983705459</v>
      </c>
      <c r="L34" s="67">
        <f t="shared" ref="L34:L43" si="2">(L19*0.0056)-0.0045</f>
        <v>6.8729641693811072E-2</v>
      </c>
      <c r="M34" s="4">
        <f t="shared" ref="M34:M43" si="3">N19/1.85</f>
        <v>16438.367983705459</v>
      </c>
      <c r="N34" s="9"/>
      <c r="P34" s="10">
        <v>1</v>
      </c>
      <c r="Q34" s="4">
        <f t="shared" ref="Q34:Q43" si="4">S19/1.85</f>
        <v>35039.3853638851</v>
      </c>
      <c r="R34" s="67">
        <f t="shared" ref="R34:R43" si="5">(R19*0.0056)-0.0045</f>
        <v>0.15159345391903534</v>
      </c>
      <c r="S34" s="4">
        <f t="shared" ref="S34:S43" si="6">T19/1.85</f>
        <v>35039.3853638851</v>
      </c>
      <c r="T34" s="9"/>
    </row>
    <row r="35" spans="2:20" x14ac:dyDescent="0.4">
      <c r="B35" s="10">
        <v>2</v>
      </c>
      <c r="C35" s="4">
        <f t="shared" ref="C35:F35" si="7">D20/1.85</f>
        <v>11046.327994732819</v>
      </c>
      <c r="D35" s="4">
        <f t="shared" si="7"/>
        <v>4080.3643069246523</v>
      </c>
      <c r="E35" s="4">
        <f t="shared" si="7"/>
        <v>2722.8135146437817</v>
      </c>
      <c r="F35" s="9">
        <f t="shared" si="7"/>
        <v>327.31855086930727</v>
      </c>
      <c r="J35" s="10">
        <v>2</v>
      </c>
      <c r="K35" s="4">
        <f t="shared" si="1"/>
        <v>16162.341743737094</v>
      </c>
      <c r="L35" s="67">
        <f t="shared" si="2"/>
        <v>6.7500000000000004E-2</v>
      </c>
      <c r="M35" s="4">
        <f t="shared" si="3"/>
        <v>-276.02623996836246</v>
      </c>
      <c r="N35" s="9"/>
      <c r="P35" s="10">
        <v>2</v>
      </c>
      <c r="Q35" s="4">
        <f t="shared" si="4"/>
        <v>40041.341079864069</v>
      </c>
      <c r="R35" s="67">
        <f t="shared" si="5"/>
        <v>0.17387616624257846</v>
      </c>
      <c r="S35" s="4">
        <f t="shared" si="6"/>
        <v>5001.9557159789674</v>
      </c>
      <c r="T35" s="9"/>
    </row>
    <row r="36" spans="2:20" x14ac:dyDescent="0.4">
      <c r="B36" s="10">
        <v>3</v>
      </c>
      <c r="C36" s="4">
        <f t="shared" ref="C36:F36" si="8">D21/1.85</f>
        <v>14698.308326624989</v>
      </c>
      <c r="D36" s="4">
        <f t="shared" si="8"/>
        <v>1985.2622829345253</v>
      </c>
      <c r="E36" s="4">
        <f t="shared" si="8"/>
        <v>3651.9803318921686</v>
      </c>
      <c r="F36" s="9">
        <f t="shared" si="8"/>
        <v>2095.1020239901236</v>
      </c>
      <c r="J36" s="10">
        <v>3</v>
      </c>
      <c r="K36" s="4">
        <f t="shared" si="1"/>
        <v>16817.366981877563</v>
      </c>
      <c r="L36" s="67">
        <f t="shared" si="2"/>
        <v>7.0418006430868166E-2</v>
      </c>
      <c r="M36" s="4">
        <f t="shared" si="3"/>
        <v>655.02523814046822</v>
      </c>
      <c r="N36" s="9"/>
      <c r="P36" s="10">
        <v>3</v>
      </c>
      <c r="Q36" s="4">
        <f t="shared" si="4"/>
        <v>41806.563575087101</v>
      </c>
      <c r="R36" s="67">
        <f t="shared" si="5"/>
        <v>0.18173987941429803</v>
      </c>
      <c r="S36" s="4">
        <f t="shared" si="6"/>
        <v>1765.2224952230363</v>
      </c>
      <c r="T36" s="9"/>
    </row>
    <row r="37" spans="2:20" x14ac:dyDescent="0.4">
      <c r="B37" s="10">
        <v>4</v>
      </c>
      <c r="C37" s="4">
        <f t="shared" ref="C37:F37" si="9">D22/1.85</f>
        <v>19831.980914063475</v>
      </c>
      <c r="D37" s="4">
        <f t="shared" si="9"/>
        <v>12.550594067462505</v>
      </c>
      <c r="E37" s="4">
        <f t="shared" si="9"/>
        <v>5133.6725874384902</v>
      </c>
      <c r="F37" s="9">
        <f t="shared" si="9"/>
        <v>1972.7116888670621</v>
      </c>
      <c r="J37" s="10">
        <v>4</v>
      </c>
      <c r="K37" s="4">
        <f t="shared" si="1"/>
        <v>17557.693293659006</v>
      </c>
      <c r="L37" s="67">
        <f t="shared" si="2"/>
        <v>7.3716012084592136E-2</v>
      </c>
      <c r="M37" s="4">
        <f t="shared" si="3"/>
        <v>740.3263117814422</v>
      </c>
      <c r="N37" s="9"/>
      <c r="P37" s="10">
        <v>4</v>
      </c>
      <c r="Q37" s="4">
        <f t="shared" si="4"/>
        <v>42119.642323675442</v>
      </c>
      <c r="R37" s="67">
        <f t="shared" si="5"/>
        <v>0.18313458262350937</v>
      </c>
      <c r="S37" s="4">
        <f t="shared" si="6"/>
        <v>313.07874858834134</v>
      </c>
      <c r="T37" s="9"/>
    </row>
    <row r="38" spans="2:20" x14ac:dyDescent="0.4">
      <c r="B38" s="10">
        <v>18</v>
      </c>
      <c r="C38" s="4">
        <f t="shared" ref="C38:F38" si="10">D23/1.85</f>
        <v>98047.096290879344</v>
      </c>
      <c r="D38" s="4">
        <f t="shared" si="10"/>
        <v>40934.443067238884</v>
      </c>
      <c r="E38" s="4">
        <f t="shared" si="10"/>
        <v>5562.3070199867443</v>
      </c>
      <c r="F38" s="9">
        <f t="shared" si="10"/>
        <v>2888.3625632270441</v>
      </c>
      <c r="J38" s="10">
        <v>18</v>
      </c>
      <c r="K38" s="4">
        <f t="shared" si="1"/>
        <v>25428.173984709672</v>
      </c>
      <c r="L38" s="67">
        <f t="shared" si="2"/>
        <v>0.10877742946708464</v>
      </c>
      <c r="M38" s="4">
        <f t="shared" si="3"/>
        <v>562.17719221790469</v>
      </c>
      <c r="N38" s="9"/>
      <c r="P38" s="10">
        <v>18</v>
      </c>
      <c r="Q38" s="4">
        <f t="shared" si="4"/>
        <v>46829.313625179253</v>
      </c>
      <c r="R38" s="67">
        <f t="shared" si="5"/>
        <v>0.20411522633744852</v>
      </c>
      <c r="S38" s="4">
        <f t="shared" si="6"/>
        <v>336.4050929645577</v>
      </c>
      <c r="T38" s="9"/>
    </row>
    <row r="39" spans="2:20" x14ac:dyDescent="0.4">
      <c r="B39" s="10">
        <v>20</v>
      </c>
      <c r="C39" s="4">
        <f t="shared" ref="C39:F39" si="11">D24/1.85</f>
        <v>99202.110193106622</v>
      </c>
      <c r="D39" s="4">
        <f t="shared" si="11"/>
        <v>42540.377900384032</v>
      </c>
      <c r="E39" s="4">
        <f t="shared" si="11"/>
        <v>577.50695111363677</v>
      </c>
      <c r="F39" s="9">
        <f t="shared" si="11"/>
        <v>802.96741657259383</v>
      </c>
      <c r="J39" s="10">
        <v>20</v>
      </c>
      <c r="K39" s="4">
        <f t="shared" si="1"/>
        <v>24996.300872488227</v>
      </c>
      <c r="L39" s="67">
        <f t="shared" si="2"/>
        <v>0.10685352112676057</v>
      </c>
      <c r="M39" s="4">
        <f t="shared" si="3"/>
        <v>-215.93655611072117</v>
      </c>
      <c r="N39" s="9"/>
      <c r="P39" s="10">
        <v>20</v>
      </c>
      <c r="Q39" s="4">
        <f t="shared" si="4"/>
        <v>44849.612424248306</v>
      </c>
      <c r="R39" s="67">
        <f t="shared" si="5"/>
        <v>0.19529605342754133</v>
      </c>
      <c r="S39" s="4">
        <f t="shared" si="6"/>
        <v>-989.85060046547483</v>
      </c>
      <c r="T39" s="9"/>
    </row>
    <row r="40" spans="2:20" x14ac:dyDescent="0.4">
      <c r="B40" s="10">
        <v>22</v>
      </c>
      <c r="C40" s="4">
        <f t="shared" ref="C40:F40" si="12">D25/1.85</f>
        <v>100135.98406523184</v>
      </c>
      <c r="D40" s="4">
        <f t="shared" si="12"/>
        <v>43878.708596142264</v>
      </c>
      <c r="E40" s="4">
        <f t="shared" si="12"/>
        <v>466.93693606261212</v>
      </c>
      <c r="F40" s="9">
        <f t="shared" si="12"/>
        <v>669.1653478790987</v>
      </c>
      <c r="J40" s="10">
        <v>22</v>
      </c>
      <c r="K40" s="4">
        <f t="shared" si="1"/>
        <v>25403.310287031214</v>
      </c>
      <c r="L40" s="67">
        <f t="shared" si="2"/>
        <v>0.10866666666666666</v>
      </c>
      <c r="M40" s="4">
        <f t="shared" si="3"/>
        <v>203.50470727149298</v>
      </c>
      <c r="N40" s="9"/>
      <c r="P40" s="10">
        <v>22</v>
      </c>
      <c r="Q40" s="4">
        <f t="shared" si="4"/>
        <v>46405.966454848101</v>
      </c>
      <c r="R40" s="67">
        <f t="shared" si="5"/>
        <v>0.20222929936305731</v>
      </c>
      <c r="S40" s="4">
        <f t="shared" si="6"/>
        <v>778.17701529989847</v>
      </c>
      <c r="T40" s="9"/>
    </row>
    <row r="41" spans="2:20" x14ac:dyDescent="0.4">
      <c r="B41" s="10">
        <v>24</v>
      </c>
      <c r="C41" s="4">
        <f t="shared" ref="C41:F41" si="13">D26/1.85</f>
        <v>103692.38079072136</v>
      </c>
      <c r="D41" s="4">
        <f t="shared" si="13"/>
        <v>46301.262692351564</v>
      </c>
      <c r="E41" s="4">
        <f t="shared" si="13"/>
        <v>1778.1983627447619</v>
      </c>
      <c r="F41" s="9">
        <f t="shared" si="13"/>
        <v>1211.2770481046498</v>
      </c>
      <c r="J41" s="10">
        <v>24</v>
      </c>
      <c r="K41" s="4">
        <f t="shared" si="1"/>
        <v>26583.47190287137</v>
      </c>
      <c r="L41" s="67">
        <f t="shared" si="2"/>
        <v>0.11392405063291138</v>
      </c>
      <c r="M41" s="4">
        <f t="shared" si="3"/>
        <v>590.08080792007786</v>
      </c>
      <c r="N41" s="9"/>
      <c r="P41" s="10">
        <v>24</v>
      </c>
      <c r="Q41" s="4">
        <f t="shared" si="4"/>
        <v>31901.472321783818</v>
      </c>
      <c r="R41" s="67">
        <f t="shared" si="5"/>
        <v>0.13761467889908255</v>
      </c>
      <c r="S41" s="4">
        <f t="shared" si="6"/>
        <v>-7252.2470665321407</v>
      </c>
      <c r="T41" s="9"/>
    </row>
    <row r="42" spans="2:20" x14ac:dyDescent="0.4">
      <c r="B42" s="10">
        <v>46</v>
      </c>
      <c r="C42" s="4">
        <f t="shared" ref="C42:F42" si="14">D27/1.85</f>
        <v>110679.14874609059</v>
      </c>
      <c r="D42" s="4">
        <f t="shared" si="14"/>
        <v>49681.512510134591</v>
      </c>
      <c r="E42" s="4">
        <f t="shared" si="14"/>
        <v>325.36474104474422</v>
      </c>
      <c r="F42" s="9">
        <f t="shared" si="14"/>
        <v>164.65649396467518</v>
      </c>
      <c r="J42" s="10">
        <v>46</v>
      </c>
      <c r="K42" s="4">
        <f t="shared" si="1"/>
        <v>35130.645595761875</v>
      </c>
      <c r="L42" s="67">
        <f t="shared" si="2"/>
        <v>0.152</v>
      </c>
      <c r="M42" s="4">
        <f t="shared" si="3"/>
        <v>388.50789513138659</v>
      </c>
      <c r="N42" s="9"/>
      <c r="P42" s="10">
        <v>46</v>
      </c>
      <c r="Q42" s="4">
        <f t="shared" si="4"/>
        <v>48932.195848840747</v>
      </c>
      <c r="R42" s="67">
        <f t="shared" si="5"/>
        <v>0.21348314606741575</v>
      </c>
      <c r="S42" s="4">
        <f t="shared" si="6"/>
        <v>774.12379668440576</v>
      </c>
      <c r="T42" s="9"/>
    </row>
    <row r="43" spans="2:20" ht="15" thickBot="1" x14ac:dyDescent="0.45">
      <c r="B43" s="17">
        <v>48</v>
      </c>
      <c r="C43" s="4">
        <f t="shared" ref="C43:F43" si="15">D28/1.85</f>
        <v>110020.26615903388</v>
      </c>
      <c r="D43" s="4">
        <f t="shared" si="15"/>
        <v>49699.455121290412</v>
      </c>
      <c r="E43" s="4">
        <f t="shared" si="15"/>
        <v>-329.44129352835813</v>
      </c>
      <c r="F43" s="9">
        <f t="shared" si="15"/>
        <v>8.9713055778734478</v>
      </c>
      <c r="J43" s="17">
        <v>48</v>
      </c>
      <c r="K43" s="4">
        <f t="shared" si="1"/>
        <v>40424.12574051298</v>
      </c>
      <c r="L43" s="67">
        <f t="shared" si="2"/>
        <v>0.17558139534883721</v>
      </c>
      <c r="M43" s="4">
        <f t="shared" si="3"/>
        <v>2646.74007237555</v>
      </c>
      <c r="N43" s="12"/>
      <c r="P43" s="17">
        <v>48</v>
      </c>
      <c r="Q43" s="4">
        <f t="shared" si="4"/>
        <v>50612.315240972399</v>
      </c>
      <c r="R43" s="67">
        <f t="shared" si="5"/>
        <v>0.22096774193548385</v>
      </c>
      <c r="S43" s="4">
        <f t="shared" si="6"/>
        <v>840.05969606582721</v>
      </c>
      <c r="T43" s="12"/>
    </row>
    <row r="44" spans="2:20" x14ac:dyDescent="0.4">
      <c r="K44" s="4"/>
      <c r="L44" s="67"/>
    </row>
  </sheetData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5E3D7B-025F-4472-96DA-3D69858244ED}">
  <dimension ref="A1:AP255"/>
  <sheetViews>
    <sheetView tabSelected="1" topLeftCell="E29" zoomScale="62" workbookViewId="0">
      <selection activeCell="P46" sqref="P46"/>
    </sheetView>
  </sheetViews>
  <sheetFormatPr defaultRowHeight="14.6" x14ac:dyDescent="0.4"/>
  <cols>
    <col min="15" max="15" width="18.15234375" customWidth="1"/>
    <col min="16" max="16" width="13.69140625" customWidth="1"/>
    <col min="17" max="17" width="12.921875" customWidth="1"/>
    <col min="18" max="18" width="11.3828125" customWidth="1"/>
    <col min="38" max="38" width="26.53515625" customWidth="1"/>
    <col min="39" max="39" width="12.61328125" customWidth="1"/>
    <col min="42" max="42" width="11.84375" bestFit="1" customWidth="1"/>
  </cols>
  <sheetData>
    <row r="1" spans="1:42" x14ac:dyDescent="0.4">
      <c r="A1" s="3" t="s">
        <v>13</v>
      </c>
      <c r="B1" s="3"/>
      <c r="C1" s="3"/>
      <c r="D1" s="3"/>
      <c r="E1" s="3"/>
      <c r="F1" s="3"/>
      <c r="G1" s="3"/>
      <c r="H1" s="3"/>
      <c r="I1" s="3"/>
      <c r="J1" s="3"/>
    </row>
    <row r="2" spans="1:42" ht="15" thickBot="1" x14ac:dyDescent="0.45">
      <c r="A2" s="1" t="s">
        <v>140</v>
      </c>
      <c r="B2" s="1">
        <v>0</v>
      </c>
      <c r="C2" s="1" t="s">
        <v>139</v>
      </c>
      <c r="D2" s="1"/>
      <c r="E2" s="1"/>
      <c r="F2" s="1"/>
      <c r="G2" s="1"/>
      <c r="H2" s="1"/>
      <c r="I2" s="1"/>
    </row>
    <row r="3" spans="1:42" x14ac:dyDescent="0.4">
      <c r="A3" s="22" t="s">
        <v>0</v>
      </c>
      <c r="B3" s="23" t="s">
        <v>2</v>
      </c>
      <c r="C3" s="24" t="s">
        <v>1</v>
      </c>
      <c r="D3" s="24" t="s">
        <v>11</v>
      </c>
      <c r="E3" s="7" t="s">
        <v>7</v>
      </c>
      <c r="F3" s="52" t="s">
        <v>47</v>
      </c>
      <c r="G3" s="22" t="s">
        <v>12</v>
      </c>
      <c r="H3" t="s">
        <v>8</v>
      </c>
      <c r="I3" t="s">
        <v>7</v>
      </c>
      <c r="J3" s="22"/>
    </row>
    <row r="4" spans="1:42" x14ac:dyDescent="0.4">
      <c r="A4" s="22" t="s">
        <v>3</v>
      </c>
      <c r="B4" s="26">
        <v>3.1</v>
      </c>
      <c r="C4" s="22">
        <v>6556</v>
      </c>
      <c r="D4" s="48">
        <f>C4/C6</f>
        <v>52.155926809864759</v>
      </c>
      <c r="E4" s="22">
        <v>0</v>
      </c>
      <c r="F4" s="42">
        <f>(E4*120.15)/1000</f>
        <v>0</v>
      </c>
      <c r="G4" s="35">
        <f>(C5/(C4+C5))</f>
        <v>0</v>
      </c>
      <c r="H4" s="50">
        <f>((G4*1000)/1.1)</f>
        <v>0</v>
      </c>
      <c r="I4" s="50">
        <f>(H4/120.15)*1000</f>
        <v>0</v>
      </c>
      <c r="J4" s="22"/>
    </row>
    <row r="5" spans="1:42" x14ac:dyDescent="0.4">
      <c r="A5" s="22" t="s">
        <v>5</v>
      </c>
      <c r="B5" s="26">
        <v>4.83</v>
      </c>
      <c r="C5" s="22">
        <v>0</v>
      </c>
      <c r="D5" s="49">
        <f>C5/C6</f>
        <v>0</v>
      </c>
      <c r="E5" s="22"/>
      <c r="F5" s="42"/>
      <c r="G5" s="48"/>
      <c r="H5" s="22"/>
      <c r="I5" s="22"/>
      <c r="J5" s="22"/>
      <c r="N5" s="44">
        <v>0</v>
      </c>
      <c r="O5" s="44" t="s">
        <v>139</v>
      </c>
      <c r="P5" s="44"/>
      <c r="Q5" s="44"/>
      <c r="R5" s="44"/>
      <c r="S5" s="53"/>
      <c r="Z5" s="44">
        <v>0</v>
      </c>
      <c r="AA5" s="44" t="s">
        <v>139</v>
      </c>
      <c r="AB5" s="44"/>
      <c r="AC5" s="44"/>
      <c r="AD5" s="44"/>
      <c r="AE5" s="53"/>
      <c r="AL5" s="44"/>
      <c r="AM5" s="44" t="s">
        <v>146</v>
      </c>
      <c r="AN5" s="44"/>
      <c r="AO5" s="44" t="s">
        <v>146</v>
      </c>
      <c r="AP5" s="44"/>
    </row>
    <row r="6" spans="1:42" ht="15" thickBot="1" x14ac:dyDescent="0.45">
      <c r="A6" s="22" t="s">
        <v>4</v>
      </c>
      <c r="B6" s="30">
        <v>6.2119999999999997</v>
      </c>
      <c r="C6" s="31">
        <v>125.7</v>
      </c>
      <c r="D6" s="31"/>
      <c r="E6" s="40"/>
      <c r="F6" s="43"/>
      <c r="G6" s="36">
        <f>C6/(C4+C5+C6)</f>
        <v>1.8812577637427601E-2</v>
      </c>
      <c r="H6" s="22"/>
      <c r="I6" s="22"/>
      <c r="J6" s="22"/>
      <c r="N6" s="44" t="s">
        <v>14</v>
      </c>
      <c r="O6" s="44" t="s">
        <v>49</v>
      </c>
      <c r="P6" s="44" t="s">
        <v>16</v>
      </c>
      <c r="Q6" s="44" t="s">
        <v>145</v>
      </c>
      <c r="R6" s="44" t="s">
        <v>15</v>
      </c>
      <c r="S6" s="53"/>
      <c r="Z6" s="44" t="s">
        <v>14</v>
      </c>
      <c r="AA6" s="44" t="s">
        <v>49</v>
      </c>
      <c r="AB6" s="44" t="s">
        <v>16</v>
      </c>
      <c r="AC6" s="44" t="s">
        <v>145</v>
      </c>
      <c r="AD6" s="44" t="s">
        <v>15</v>
      </c>
      <c r="AE6" s="53"/>
      <c r="AL6" s="44" t="s">
        <v>147</v>
      </c>
      <c r="AM6" s="44" t="s">
        <v>15</v>
      </c>
      <c r="AN6" s="44" t="s">
        <v>6</v>
      </c>
      <c r="AO6" s="44" t="s">
        <v>165</v>
      </c>
      <c r="AP6" s="44" t="s">
        <v>6</v>
      </c>
    </row>
    <row r="7" spans="1:42" ht="15" thickBot="1" x14ac:dyDescent="0.45">
      <c r="A7" s="1" t="s">
        <v>140</v>
      </c>
      <c r="B7" s="33">
        <v>0</v>
      </c>
      <c r="C7" s="33" t="s">
        <v>139</v>
      </c>
      <c r="D7" s="33"/>
      <c r="E7" s="33"/>
      <c r="F7" s="33"/>
      <c r="G7" s="1"/>
      <c r="H7" s="1"/>
      <c r="I7" s="1"/>
      <c r="J7" s="22"/>
      <c r="N7">
        <v>0</v>
      </c>
      <c r="O7">
        <f>F6</f>
        <v>0</v>
      </c>
      <c r="P7">
        <v>0</v>
      </c>
      <c r="Q7" s="54">
        <v>7.5609000000000002</v>
      </c>
      <c r="R7" s="21">
        <f>Q7/(2.44/1000)</f>
        <v>3098.7295081967213</v>
      </c>
      <c r="S7" s="21"/>
      <c r="Z7">
        <v>0</v>
      </c>
      <c r="AA7" t="str">
        <f>R6</f>
        <v>TOF [1/h]</v>
      </c>
      <c r="AB7">
        <v>0</v>
      </c>
      <c r="AC7" s="54">
        <v>7.5193000000000003</v>
      </c>
      <c r="AD7" s="21">
        <f>AC7/(2.44/1000)</f>
        <v>3081.6803278688526</v>
      </c>
      <c r="AE7" s="21"/>
      <c r="AL7">
        <v>0</v>
      </c>
      <c r="AM7">
        <f>AVERAGE(R7,AD7)</f>
        <v>3090.2049180327867</v>
      </c>
      <c r="AN7">
        <f>STDEV(R7,AD7)</f>
        <v>12.055591023508262</v>
      </c>
      <c r="AO7" s="2">
        <f>AVERAGE(Q9,AC9)</f>
        <v>3.7724560000000004E-2</v>
      </c>
      <c r="AP7">
        <f>STDEV(Q9,AC9)</f>
        <v>1.6472759574522112E-4</v>
      </c>
    </row>
    <row r="8" spans="1:42" x14ac:dyDescent="0.4">
      <c r="A8" s="22" t="s">
        <v>0</v>
      </c>
      <c r="B8" s="23" t="s">
        <v>2</v>
      </c>
      <c r="C8" s="24" t="s">
        <v>1</v>
      </c>
      <c r="D8" s="24" t="s">
        <v>11</v>
      </c>
      <c r="E8" s="8" t="s">
        <v>7</v>
      </c>
      <c r="F8" s="51" t="s">
        <v>47</v>
      </c>
      <c r="G8" s="22" t="s">
        <v>12</v>
      </c>
      <c r="H8" t="s">
        <v>8</v>
      </c>
      <c r="I8" t="s">
        <v>7</v>
      </c>
      <c r="J8" s="22"/>
      <c r="N8">
        <v>0.5</v>
      </c>
      <c r="O8" s="2">
        <f>AVERAGE(E55)</f>
        <v>3.6018041237113403</v>
      </c>
      <c r="P8">
        <f>(2*1.25)/500</f>
        <v>5.0000000000000001E-3</v>
      </c>
      <c r="Q8" s="69" t="s">
        <v>166</v>
      </c>
      <c r="R8" s="21"/>
      <c r="S8" s="21"/>
      <c r="Z8">
        <v>0.5</v>
      </c>
      <c r="AA8" s="2">
        <f>AVERAGE(E60)</f>
        <v>3.0567569667460894</v>
      </c>
      <c r="AB8">
        <f>(2*1.25)/500</f>
        <v>5.0000000000000001E-3</v>
      </c>
      <c r="AC8" s="69" t="s">
        <v>166</v>
      </c>
      <c r="AD8" s="21"/>
      <c r="AE8" s="21"/>
      <c r="AL8">
        <v>2</v>
      </c>
      <c r="AM8">
        <f>AVERAGE(R14,AD14)</f>
        <v>3127.1516393442625</v>
      </c>
      <c r="AN8">
        <f>STDEV(R14,AD14)</f>
        <v>0.8404137973119119</v>
      </c>
      <c r="AO8" s="2">
        <f>AVERAGE(Q16,AC16)</f>
        <v>3.8229400000000004E-2</v>
      </c>
      <c r="AP8">
        <f>STDEV(Q16,AC16)</f>
        <v>1.1483414126470026E-5</v>
      </c>
    </row>
    <row r="9" spans="1:42" x14ac:dyDescent="0.4">
      <c r="A9" s="22" t="s">
        <v>3</v>
      </c>
      <c r="B9" s="26">
        <v>3.14</v>
      </c>
      <c r="C9" s="22">
        <v>7740.4</v>
      </c>
      <c r="D9" s="48">
        <f>C9/C11</f>
        <v>52.691626957113677</v>
      </c>
      <c r="E9" s="29">
        <v>0</v>
      </c>
      <c r="F9" s="29">
        <f>(E9*120.15)/1000</f>
        <v>0</v>
      </c>
      <c r="G9" s="35">
        <f>(C10/(C9+C10))</f>
        <v>0</v>
      </c>
      <c r="H9" s="50">
        <f>((G9*1000)/1.1)</f>
        <v>0</v>
      </c>
      <c r="I9" s="50">
        <f>(H9/120.15)*1000</f>
        <v>0</v>
      </c>
      <c r="J9" s="22"/>
      <c r="N9">
        <v>1</v>
      </c>
      <c r="O9" s="2">
        <f>AVERAGE(E106)</f>
        <v>7.0846390749945973</v>
      </c>
      <c r="P9">
        <f>P8*2</f>
        <v>0.01</v>
      </c>
      <c r="Q9" s="54">
        <f>(Q7*0.0056)-0.0045</f>
        <v>3.7841040000000006E-2</v>
      </c>
      <c r="R9" s="21"/>
      <c r="S9" s="21"/>
      <c r="Z9">
        <v>1</v>
      </c>
      <c r="AA9" s="2">
        <f>AVERAGE(E111)</f>
        <v>6.6819286236806352</v>
      </c>
      <c r="AB9">
        <f>AB8*2</f>
        <v>0.01</v>
      </c>
      <c r="AC9" s="54">
        <f>(AC7*0.0056)-0.0045</f>
        <v>3.7608080000000002E-2</v>
      </c>
      <c r="AD9" s="21"/>
      <c r="AE9" s="21"/>
      <c r="AL9">
        <v>10</v>
      </c>
      <c r="AM9">
        <f>AVERAGE(R21,AD21)</f>
        <v>3075.9426229508199</v>
      </c>
      <c r="AN9">
        <f>STDEV(R21,AD21)</f>
        <v>42.774164304563676</v>
      </c>
      <c r="AO9" s="2">
        <f>AVERAGE(Q23,AC23)</f>
        <v>3.7529680000000003E-2</v>
      </c>
      <c r="AP9">
        <f>STDEV(Q23,AC23)</f>
        <v>5.8446618105755552E-4</v>
      </c>
    </row>
    <row r="10" spans="1:42" x14ac:dyDescent="0.4">
      <c r="A10" s="22" t="s">
        <v>5</v>
      </c>
      <c r="B10" s="26">
        <v>4.83</v>
      </c>
      <c r="C10" s="22">
        <v>0</v>
      </c>
      <c r="D10" s="49">
        <f>C10/C11</f>
        <v>0</v>
      </c>
      <c r="E10" s="29"/>
      <c r="F10" s="29"/>
      <c r="G10" s="48"/>
      <c r="H10" s="22"/>
      <c r="I10" s="22"/>
      <c r="J10" s="22"/>
      <c r="N10">
        <v>1.5</v>
      </c>
      <c r="O10" s="2">
        <f>AVERAGE(E157)</f>
        <v>10.933682952734996</v>
      </c>
      <c r="P10">
        <f>P9*2</f>
        <v>0.02</v>
      </c>
      <c r="Q10" s="54"/>
      <c r="R10" s="21"/>
      <c r="S10" s="21"/>
      <c r="Z10">
        <v>1.5</v>
      </c>
      <c r="AA10" s="2">
        <f>AVERAGE(E162)</f>
        <v>10.731369262506446</v>
      </c>
      <c r="AB10">
        <f>AB9*2</f>
        <v>0.02</v>
      </c>
      <c r="AC10" s="54"/>
      <c r="AD10" s="21"/>
      <c r="AE10" s="21"/>
      <c r="AL10">
        <v>20</v>
      </c>
      <c r="AM10">
        <f>AVERAGE(R28,AD28)</f>
        <v>3200.4098360655739</v>
      </c>
      <c r="AN10">
        <f>STDEV(R28,AD28)</f>
        <v>45.208466338156221</v>
      </c>
      <c r="AO10" s="2">
        <f>AVERAGE(Q30,AC30)</f>
        <v>3.9230399999999999E-2</v>
      </c>
      <c r="AP10">
        <f>STDEV(Q30,AC30)</f>
        <v>6.1772848404456453E-4</v>
      </c>
    </row>
    <row r="11" spans="1:42" ht="15" thickBot="1" x14ac:dyDescent="0.45">
      <c r="A11" s="22" t="s">
        <v>4</v>
      </c>
      <c r="B11" s="30">
        <v>6.2119999999999997</v>
      </c>
      <c r="C11" s="31">
        <v>146.9</v>
      </c>
      <c r="D11" s="31"/>
      <c r="E11" s="32"/>
      <c r="F11" s="32"/>
      <c r="G11" s="36">
        <f>C11/(C9+C10+C11)</f>
        <v>1.8624877968379548E-2</v>
      </c>
      <c r="H11" s="22"/>
      <c r="I11" s="22"/>
      <c r="J11" s="22"/>
      <c r="N11">
        <v>2</v>
      </c>
      <c r="O11" s="2">
        <f>AVERAGE(E208)</f>
        <v>15.236236485777265</v>
      </c>
      <c r="P11">
        <f>P10*2</f>
        <v>0.04</v>
      </c>
      <c r="Q11" s="54"/>
      <c r="R11" s="21"/>
      <c r="S11" s="21"/>
      <c r="Z11">
        <v>2</v>
      </c>
      <c r="AA11" s="2">
        <f>AVERAGE(E213)</f>
        <v>14.961066887487981</v>
      </c>
      <c r="AB11">
        <f>AB10*2</f>
        <v>0.04</v>
      </c>
      <c r="AC11" s="54"/>
      <c r="AD11" s="21"/>
      <c r="AE11" s="21"/>
      <c r="AL11">
        <v>50</v>
      </c>
      <c r="AM11">
        <f>AVERAGE(R35,AD35)</f>
        <v>3183.2786885245901</v>
      </c>
      <c r="AN11">
        <f>STDEV(R35,AD35)</f>
        <v>184.60123754747173</v>
      </c>
      <c r="AO11" s="2">
        <f>AVERAGE(Q37,AC37)</f>
        <v>3.8996320000000001E-2</v>
      </c>
      <c r="AP11">
        <f>STDEV(Q37,AC37)</f>
        <v>2.5223913098486521E-3</v>
      </c>
    </row>
    <row r="12" spans="1:42" ht="15" thickBot="1" x14ac:dyDescent="0.45">
      <c r="A12" s="1" t="s">
        <v>140</v>
      </c>
      <c r="B12" s="1">
        <v>2</v>
      </c>
      <c r="C12" s="1" t="s">
        <v>139</v>
      </c>
      <c r="D12" s="1"/>
      <c r="E12" s="1"/>
      <c r="F12" s="1"/>
      <c r="G12" s="1"/>
      <c r="H12" s="1"/>
      <c r="I12" s="1"/>
      <c r="N12" s="44">
        <v>2</v>
      </c>
      <c r="O12" s="44" t="s">
        <v>139</v>
      </c>
      <c r="P12" s="44"/>
      <c r="Q12" s="44"/>
      <c r="R12" s="44"/>
      <c r="S12" s="53"/>
      <c r="Z12" s="44">
        <v>2</v>
      </c>
      <c r="AA12" s="44" t="s">
        <v>139</v>
      </c>
      <c r="AB12" s="44"/>
      <c r="AC12" s="44"/>
      <c r="AD12" s="44"/>
      <c r="AE12" s="53"/>
    </row>
    <row r="13" spans="1:42" x14ac:dyDescent="0.4">
      <c r="A13" t="s">
        <v>0</v>
      </c>
      <c r="B13" s="23" t="s">
        <v>2</v>
      </c>
      <c r="C13" s="24" t="s">
        <v>1</v>
      </c>
      <c r="D13" s="24" t="s">
        <v>11</v>
      </c>
      <c r="E13" s="8" t="s">
        <v>7</v>
      </c>
      <c r="F13" s="51" t="s">
        <v>47</v>
      </c>
      <c r="G13" s="22" t="s">
        <v>12</v>
      </c>
      <c r="H13" t="s">
        <v>8</v>
      </c>
      <c r="I13" t="s">
        <v>7</v>
      </c>
      <c r="N13" s="44" t="s">
        <v>14</v>
      </c>
      <c r="O13" s="44" t="s">
        <v>49</v>
      </c>
      <c r="P13" s="44" t="s">
        <v>16</v>
      </c>
      <c r="Q13" s="44" t="s">
        <v>145</v>
      </c>
      <c r="R13" s="44" t="s">
        <v>15</v>
      </c>
      <c r="S13" s="53"/>
      <c r="Z13" s="44" t="s">
        <v>14</v>
      </c>
      <c r="AA13" s="44" t="s">
        <v>49</v>
      </c>
      <c r="AB13" s="44" t="s">
        <v>16</v>
      </c>
      <c r="AC13" s="44" t="s">
        <v>145</v>
      </c>
      <c r="AD13" s="44" t="s">
        <v>15</v>
      </c>
      <c r="AE13" s="53"/>
    </row>
    <row r="14" spans="1:42" x14ac:dyDescent="0.4">
      <c r="A14" t="s">
        <v>3</v>
      </c>
      <c r="B14" s="13">
        <v>3.1</v>
      </c>
      <c r="C14" s="22">
        <v>7289.2</v>
      </c>
      <c r="D14" s="2">
        <f>C14/C16</f>
        <v>52.402588066139472</v>
      </c>
      <c r="E14" s="29">
        <f>(D15+0.0045)/0.0056</f>
        <v>3.2427210639827462</v>
      </c>
      <c r="F14" s="29">
        <f>(E14*120.15)/1000</f>
        <v>0.38961293583752693</v>
      </c>
      <c r="G14" s="35">
        <f>(C15/(C14+C15))</f>
        <v>2.6059168026772367E-4</v>
      </c>
      <c r="H14" s="50">
        <f>((G14*1000)/1.1)</f>
        <v>0.2369015275161124</v>
      </c>
      <c r="I14" s="50">
        <f>(H14/120.15)*1000</f>
        <v>1.9717147525269447</v>
      </c>
      <c r="N14">
        <v>0</v>
      </c>
      <c r="O14" s="2">
        <f>AVERAGE(E14)</f>
        <v>3.2427210639827462</v>
      </c>
      <c r="P14">
        <v>1</v>
      </c>
      <c r="Q14" s="54">
        <v>7.6317000000000004</v>
      </c>
      <c r="R14" s="21">
        <f>Q14/(2.44/1000)</f>
        <v>3127.7459016393445</v>
      </c>
      <c r="S14" s="21"/>
      <c r="Z14">
        <v>0</v>
      </c>
      <c r="AA14" s="2">
        <f>AVERAGE(E19)</f>
        <v>3.1321951857666148</v>
      </c>
      <c r="AB14">
        <v>1</v>
      </c>
      <c r="AC14" s="54">
        <v>7.6288</v>
      </c>
      <c r="AD14" s="21">
        <f>AC14/(2.44/1000)</f>
        <v>3126.5573770491806</v>
      </c>
      <c r="AE14" s="21"/>
    </row>
    <row r="15" spans="1:42" x14ac:dyDescent="0.4">
      <c r="A15" t="s">
        <v>5</v>
      </c>
      <c r="B15" s="13">
        <v>4.83</v>
      </c>
      <c r="C15" s="22">
        <v>1.9</v>
      </c>
      <c r="D15" s="50">
        <f>C15/C16</f>
        <v>1.3659237958303379E-2</v>
      </c>
      <c r="E15" s="9"/>
      <c r="F15" s="29"/>
      <c r="G15" s="48"/>
      <c r="H15" s="22"/>
      <c r="I15" s="22"/>
      <c r="N15">
        <v>0.5</v>
      </c>
      <c r="O15" s="2">
        <f>AVERAGE(E65)</f>
        <v>6.2169572553430825</v>
      </c>
      <c r="P15">
        <f>(2*1.25)/500</f>
        <v>5.0000000000000001E-3</v>
      </c>
      <c r="Q15" s="69" t="s">
        <v>166</v>
      </c>
      <c r="R15" s="21"/>
      <c r="S15" s="21"/>
      <c r="Z15">
        <v>0.5</v>
      </c>
      <c r="AA15" s="2">
        <f>AVERAGE(E70)</f>
        <v>6.146239077797663</v>
      </c>
      <c r="AB15">
        <f>(2*1.25)/500</f>
        <v>5.0000000000000001E-3</v>
      </c>
      <c r="AC15" s="69" t="s">
        <v>166</v>
      </c>
      <c r="AD15" s="21"/>
      <c r="AE15" s="21"/>
    </row>
    <row r="16" spans="1:42" ht="15" thickBot="1" x14ac:dyDescent="0.45">
      <c r="A16" t="s">
        <v>4</v>
      </c>
      <c r="B16" s="14">
        <v>6.2119999999999997</v>
      </c>
      <c r="C16" s="11">
        <v>139.1</v>
      </c>
      <c r="D16" s="11"/>
      <c r="E16" s="16"/>
      <c r="F16" s="32"/>
      <c r="G16" s="36">
        <f>C16/(C14+C15+C16)</f>
        <v>1.8720895803612286E-2</v>
      </c>
      <c r="H16" s="22"/>
      <c r="I16" s="22"/>
      <c r="N16">
        <v>1</v>
      </c>
      <c r="O16" s="2">
        <f>AVERAGE(E116)</f>
        <v>9.9311451921035871</v>
      </c>
      <c r="P16">
        <f>P15*2</f>
        <v>0.01</v>
      </c>
      <c r="Q16" s="54">
        <f>(Q14*0.0056)-0.0045</f>
        <v>3.8237520000000004E-2</v>
      </c>
      <c r="R16" s="21"/>
      <c r="S16" s="21"/>
      <c r="Z16">
        <v>1</v>
      </c>
      <c r="AA16" s="2">
        <f>AVERAGE(E121)</f>
        <v>9.6048788982960023</v>
      </c>
      <c r="AB16">
        <f>AB15*2</f>
        <v>0.01</v>
      </c>
      <c r="AC16" s="54">
        <f>(AC14*0.0056)-0.0045</f>
        <v>3.8221280000000003E-2</v>
      </c>
      <c r="AD16" s="21"/>
      <c r="AE16" s="21"/>
    </row>
    <row r="17" spans="1:31" ht="15" thickBot="1" x14ac:dyDescent="0.45">
      <c r="A17" s="1" t="s">
        <v>140</v>
      </c>
      <c r="B17" s="1">
        <v>2</v>
      </c>
      <c r="C17" s="1" t="s">
        <v>139</v>
      </c>
      <c r="D17" s="1"/>
      <c r="E17" s="1"/>
      <c r="F17" s="1"/>
      <c r="G17" s="1"/>
      <c r="H17" s="1"/>
      <c r="I17" s="1"/>
      <c r="N17">
        <v>1.5</v>
      </c>
      <c r="O17">
        <f>AVERAGE(E167)</f>
        <v>14.170473421926912</v>
      </c>
      <c r="P17">
        <f>P16*2</f>
        <v>0.02</v>
      </c>
      <c r="Q17" s="54"/>
      <c r="R17" s="21"/>
      <c r="S17" s="21"/>
      <c r="Z17">
        <v>1.5</v>
      </c>
      <c r="AA17">
        <f>AVERAGE(E172)</f>
        <v>13.969539318948771</v>
      </c>
      <c r="AB17">
        <f>AB16*2</f>
        <v>0.02</v>
      </c>
      <c r="AC17" s="54"/>
      <c r="AD17" s="21"/>
      <c r="AE17" s="21"/>
    </row>
    <row r="18" spans="1:31" x14ac:dyDescent="0.4">
      <c r="A18" t="s">
        <v>0</v>
      </c>
      <c r="B18" s="23" t="s">
        <v>2</v>
      </c>
      <c r="C18" s="24" t="s">
        <v>1</v>
      </c>
      <c r="D18" s="24" t="s">
        <v>11</v>
      </c>
      <c r="E18" s="8" t="s">
        <v>7</v>
      </c>
      <c r="F18" s="51" t="s">
        <v>47</v>
      </c>
      <c r="G18" s="22" t="s">
        <v>12</v>
      </c>
      <c r="H18" t="s">
        <v>8</v>
      </c>
      <c r="I18" t="s">
        <v>7</v>
      </c>
      <c r="N18">
        <v>2</v>
      </c>
      <c r="O18">
        <f>AVERAGE(E218)</f>
        <v>18.345217062089855</v>
      </c>
      <c r="P18">
        <f>P17*2</f>
        <v>0.04</v>
      </c>
      <c r="Q18" s="54"/>
      <c r="R18" s="21"/>
      <c r="S18" s="21"/>
      <c r="Z18">
        <v>2</v>
      </c>
      <c r="AA18">
        <f>AVERAGE(E223)</f>
        <v>18.292525773195877</v>
      </c>
      <c r="AB18">
        <f>AB17*2</f>
        <v>0.04</v>
      </c>
      <c r="AC18" s="54"/>
      <c r="AD18" s="21"/>
      <c r="AE18" s="21"/>
    </row>
    <row r="19" spans="1:31" x14ac:dyDescent="0.4">
      <c r="A19" t="s">
        <v>3</v>
      </c>
      <c r="B19" s="13">
        <v>3.1</v>
      </c>
      <c r="C19" s="22">
        <v>7171.5</v>
      </c>
      <c r="D19" s="2">
        <f>C19/C21</f>
        <v>52.53846153846154</v>
      </c>
      <c r="E19" s="29">
        <f>(D20+0.0045)/0.0056</f>
        <v>3.1321951857666148</v>
      </c>
      <c r="F19" s="29">
        <f>(E19*120.15)/1000</f>
        <v>0.37633325156985881</v>
      </c>
      <c r="G19" s="35">
        <f>(C20/(C19+C20))</f>
        <v>2.4814310887069792E-4</v>
      </c>
      <c r="H19" s="50">
        <f>((G19*1000)/1.1)</f>
        <v>0.22558464442790718</v>
      </c>
      <c r="I19" s="50">
        <f>(H19/120.15)*1000</f>
        <v>1.8775251304861187</v>
      </c>
      <c r="N19" s="44">
        <v>10</v>
      </c>
      <c r="O19" s="44" t="s">
        <v>139</v>
      </c>
      <c r="P19" s="44"/>
      <c r="Q19" s="44"/>
      <c r="R19" s="44"/>
      <c r="S19" s="53"/>
      <c r="Z19" s="44">
        <v>10</v>
      </c>
      <c r="AA19" s="44" t="s">
        <v>139</v>
      </c>
      <c r="AB19" s="44"/>
      <c r="AC19" s="44"/>
      <c r="AD19" s="44"/>
      <c r="AE19" s="53"/>
    </row>
    <row r="20" spans="1:31" x14ac:dyDescent="0.4">
      <c r="A20" t="s">
        <v>5</v>
      </c>
      <c r="B20" s="13">
        <v>4.83</v>
      </c>
      <c r="C20" s="22">
        <v>1.78</v>
      </c>
      <c r="D20" s="50">
        <f>C20/C21</f>
        <v>1.3040293040293041E-2</v>
      </c>
      <c r="E20" s="9"/>
      <c r="F20" s="29"/>
      <c r="G20" s="48"/>
      <c r="H20" s="22"/>
      <c r="I20" s="22"/>
      <c r="N20" s="44" t="s">
        <v>14</v>
      </c>
      <c r="O20" s="44" t="s">
        <v>49</v>
      </c>
      <c r="P20" s="44" t="s">
        <v>16</v>
      </c>
      <c r="Q20" s="44" t="s">
        <v>145</v>
      </c>
      <c r="R20" s="44" t="s">
        <v>15</v>
      </c>
      <c r="S20" s="53"/>
      <c r="Z20" s="44" t="s">
        <v>14</v>
      </c>
      <c r="AA20" s="44" t="s">
        <v>49</v>
      </c>
      <c r="AB20" s="44" t="s">
        <v>16</v>
      </c>
      <c r="AC20" s="44" t="s">
        <v>145</v>
      </c>
      <c r="AD20" s="44" t="s">
        <v>15</v>
      </c>
      <c r="AE20" s="53"/>
    </row>
    <row r="21" spans="1:31" ht="15" thickBot="1" x14ac:dyDescent="0.45">
      <c r="A21" t="s">
        <v>4</v>
      </c>
      <c r="B21" s="14">
        <v>6.2119999999999997</v>
      </c>
      <c r="C21" s="11">
        <v>136.5</v>
      </c>
      <c r="D21" s="11"/>
      <c r="E21" s="16"/>
      <c r="F21" s="32"/>
      <c r="G21" s="36">
        <f>C21/(C19+C20+C21)</f>
        <v>1.8673612612144279E-2</v>
      </c>
      <c r="H21" s="22"/>
      <c r="I21" s="22"/>
      <c r="N21">
        <v>0</v>
      </c>
      <c r="O21" s="2">
        <f>AVERAGE(E24)</f>
        <v>11.669662831575584</v>
      </c>
      <c r="P21">
        <v>1</v>
      </c>
      <c r="Q21" s="54">
        <v>7.5791000000000004</v>
      </c>
      <c r="R21" s="21">
        <f>Q21/(2.44/1000)</f>
        <v>3106.1885245901644</v>
      </c>
      <c r="S21" s="21"/>
      <c r="Z21">
        <v>0</v>
      </c>
      <c r="AA21" s="2">
        <f>AVERAGE(E29)</f>
        <v>11.320428773919208</v>
      </c>
      <c r="AB21">
        <v>1</v>
      </c>
      <c r="AC21" s="54">
        <v>7.4314999999999998</v>
      </c>
      <c r="AD21" s="21">
        <f>AC21/(2.44/1000)</f>
        <v>3045.6967213114754</v>
      </c>
      <c r="AE21" s="21"/>
    </row>
    <row r="22" spans="1:31" ht="15" thickBot="1" x14ac:dyDescent="0.45">
      <c r="A22" s="1" t="s">
        <v>140</v>
      </c>
      <c r="B22" s="1">
        <v>10</v>
      </c>
      <c r="C22" s="1" t="s">
        <v>139</v>
      </c>
      <c r="D22" s="1"/>
      <c r="E22" s="1"/>
      <c r="F22" s="1"/>
      <c r="G22" s="1"/>
      <c r="H22" s="1"/>
      <c r="I22" s="1"/>
      <c r="N22">
        <v>0.5</v>
      </c>
      <c r="O22" s="2">
        <f>AVERAGE(E75)</f>
        <v>14.550202156334231</v>
      </c>
      <c r="P22">
        <f>(2*1.25)/500</f>
        <v>5.0000000000000001E-3</v>
      </c>
      <c r="Q22" s="69" t="s">
        <v>166</v>
      </c>
      <c r="R22" s="21"/>
      <c r="S22" s="21"/>
      <c r="Z22">
        <v>0.5</v>
      </c>
      <c r="AA22" s="2">
        <f>AVERAGE(E80)</f>
        <v>14.082608255766898</v>
      </c>
      <c r="AB22">
        <f>(2*1.25)/500</f>
        <v>5.0000000000000001E-3</v>
      </c>
      <c r="AC22" s="69" t="s">
        <v>166</v>
      </c>
      <c r="AD22" s="21"/>
      <c r="AE22" s="21"/>
    </row>
    <row r="23" spans="1:31" x14ac:dyDescent="0.4">
      <c r="A23" s="22" t="s">
        <v>0</v>
      </c>
      <c r="B23" s="23" t="s">
        <v>2</v>
      </c>
      <c r="C23" s="24" t="s">
        <v>1</v>
      </c>
      <c r="D23" s="24" t="s">
        <v>11</v>
      </c>
      <c r="E23" s="8" t="s">
        <v>7</v>
      </c>
      <c r="F23" s="51" t="s">
        <v>47</v>
      </c>
      <c r="G23" s="22" t="s">
        <v>12</v>
      </c>
      <c r="H23" t="s">
        <v>8</v>
      </c>
      <c r="I23" t="s">
        <v>7</v>
      </c>
      <c r="J23" s="22"/>
      <c r="N23">
        <v>1</v>
      </c>
      <c r="O23" s="2">
        <f>AVERAGE(E126)</f>
        <v>18.476076176408526</v>
      </c>
      <c r="P23">
        <f>P22*2</f>
        <v>0.01</v>
      </c>
      <c r="Q23" s="54">
        <f>(Q21*0.0056)-0.0045</f>
        <v>3.7942960000000005E-2</v>
      </c>
      <c r="R23" s="21"/>
      <c r="S23" s="21"/>
      <c r="Z23">
        <v>1</v>
      </c>
      <c r="AA23" s="2">
        <f>AVERAGE(E131)</f>
        <v>17.791265382557516</v>
      </c>
      <c r="AB23">
        <f>AB22*2</f>
        <v>0.01</v>
      </c>
      <c r="AC23" s="54">
        <f>(AC21*0.0056)-0.0045</f>
        <v>3.7116400000000001E-2</v>
      </c>
      <c r="AD23" s="21"/>
      <c r="AE23" s="21"/>
    </row>
    <row r="24" spans="1:31" x14ac:dyDescent="0.4">
      <c r="A24" s="22" t="s">
        <v>3</v>
      </c>
      <c r="B24" s="26">
        <v>3.1</v>
      </c>
      <c r="C24" s="22">
        <v>7079.4</v>
      </c>
      <c r="D24" s="48">
        <f>C24/C26</f>
        <v>52.791946308724832</v>
      </c>
      <c r="E24" s="29">
        <f>(D25+0.0045)/0.0056</f>
        <v>11.669662831575584</v>
      </c>
      <c r="F24" s="29">
        <f>(E24*120.15)/1000</f>
        <v>1.4021099892138065</v>
      </c>
      <c r="G24" s="35">
        <f>(C25/(C24+C25))</f>
        <v>1.1513130047576317E-3</v>
      </c>
      <c r="H24" s="50">
        <f>((G24*1000)/1.1)</f>
        <v>1.0466481861433015</v>
      </c>
      <c r="I24" s="50">
        <f>(H24/120.15)*1000</f>
        <v>8.7111792438060878</v>
      </c>
      <c r="J24" s="22"/>
      <c r="N24">
        <v>1.5</v>
      </c>
      <c r="O24" s="2">
        <f>AVERAGE(E177)</f>
        <v>22.602861319966578</v>
      </c>
      <c r="P24">
        <f>P23*2</f>
        <v>0.02</v>
      </c>
      <c r="Q24" s="54"/>
      <c r="R24" s="21"/>
      <c r="S24" s="21"/>
      <c r="Z24">
        <v>1.5</v>
      </c>
      <c r="AA24" s="2">
        <f>AVERAGE(E182)</f>
        <v>21.856737012987015</v>
      </c>
      <c r="AB24">
        <f>AB23*2</f>
        <v>0.02</v>
      </c>
      <c r="AC24" s="54"/>
      <c r="AD24" s="21"/>
      <c r="AE24" s="21"/>
    </row>
    <row r="25" spans="1:31" x14ac:dyDescent="0.4">
      <c r="A25" s="22" t="s">
        <v>5</v>
      </c>
      <c r="B25" s="26">
        <v>4.83</v>
      </c>
      <c r="C25" s="22">
        <v>8.16</v>
      </c>
      <c r="D25" s="49">
        <f>C25/C26</f>
        <v>6.085011185682327E-2</v>
      </c>
      <c r="E25" s="29"/>
      <c r="F25" s="29"/>
      <c r="G25" s="48"/>
      <c r="H25" s="22"/>
      <c r="I25" s="22"/>
      <c r="J25" s="22"/>
      <c r="N25">
        <v>2</v>
      </c>
      <c r="O25" s="2">
        <f>AVERAGE(E228)</f>
        <v>26.591060337178348</v>
      </c>
      <c r="P25">
        <f>P24*2</f>
        <v>0.04</v>
      </c>
      <c r="Q25" s="54"/>
      <c r="R25" s="21"/>
      <c r="S25" s="21"/>
      <c r="Z25">
        <v>2</v>
      </c>
      <c r="AA25" s="2">
        <f>AVERAGE(E233)</f>
        <v>26.012102734663713</v>
      </c>
      <c r="AB25">
        <f>AB24*2</f>
        <v>0.04</v>
      </c>
      <c r="AC25" s="54"/>
      <c r="AD25" s="21"/>
      <c r="AE25" s="21"/>
    </row>
    <row r="26" spans="1:31" ht="15" thickBot="1" x14ac:dyDescent="0.45">
      <c r="A26" s="22" t="s">
        <v>4</v>
      </c>
      <c r="B26" s="30">
        <v>6.2119999999999997</v>
      </c>
      <c r="C26" s="31">
        <v>134.1</v>
      </c>
      <c r="D26" s="31"/>
      <c r="E26" s="32"/>
      <c r="F26" s="32"/>
      <c r="G26" s="36">
        <f>C26/(C24+C25+C26)</f>
        <v>1.8569137843653674E-2</v>
      </c>
      <c r="H26" s="22"/>
      <c r="I26" s="22"/>
      <c r="J26" s="22"/>
      <c r="N26" s="44">
        <v>20</v>
      </c>
      <c r="O26" s="44" t="s">
        <v>139</v>
      </c>
      <c r="P26" s="44"/>
      <c r="Q26" s="44"/>
      <c r="R26" s="44"/>
      <c r="S26" s="53"/>
      <c r="Z26" s="44">
        <v>20</v>
      </c>
      <c r="AA26" s="44" t="s">
        <v>139</v>
      </c>
      <c r="AB26" s="44"/>
      <c r="AC26" s="44"/>
      <c r="AD26" s="44"/>
      <c r="AE26" s="53"/>
    </row>
    <row r="27" spans="1:31" ht="15" thickBot="1" x14ac:dyDescent="0.45">
      <c r="A27" s="1" t="s">
        <v>140</v>
      </c>
      <c r="B27" s="1">
        <v>10</v>
      </c>
      <c r="C27" s="1" t="s">
        <v>139</v>
      </c>
      <c r="D27" s="1"/>
      <c r="E27" s="1"/>
      <c r="F27" s="1"/>
      <c r="G27" s="1"/>
      <c r="H27" s="1"/>
      <c r="I27" s="1"/>
      <c r="N27" s="44" t="s">
        <v>14</v>
      </c>
      <c r="O27" s="44" t="s">
        <v>49</v>
      </c>
      <c r="P27" s="44" t="s">
        <v>16</v>
      </c>
      <c r="Q27" s="44" t="s">
        <v>145</v>
      </c>
      <c r="R27" s="44" t="s">
        <v>15</v>
      </c>
      <c r="S27" s="53"/>
      <c r="Z27" s="44" t="s">
        <v>14</v>
      </c>
      <c r="AA27" s="44" t="s">
        <v>49</v>
      </c>
      <c r="AB27" s="44" t="s">
        <v>16</v>
      </c>
      <c r="AC27" s="44" t="s">
        <v>145</v>
      </c>
      <c r="AD27" s="44" t="s">
        <v>15</v>
      </c>
      <c r="AE27" s="53"/>
    </row>
    <row r="28" spans="1:31" x14ac:dyDescent="0.4">
      <c r="A28" s="22" t="s">
        <v>0</v>
      </c>
      <c r="B28" s="23" t="s">
        <v>2</v>
      </c>
      <c r="C28" s="24" t="s">
        <v>1</v>
      </c>
      <c r="D28" s="24" t="s">
        <v>11</v>
      </c>
      <c r="E28" s="8" t="s">
        <v>7</v>
      </c>
      <c r="F28" s="51" t="s">
        <v>47</v>
      </c>
      <c r="G28" s="22" t="s">
        <v>12</v>
      </c>
      <c r="H28" t="s">
        <v>8</v>
      </c>
      <c r="I28" t="s">
        <v>7</v>
      </c>
      <c r="J28" s="22"/>
      <c r="N28">
        <v>0</v>
      </c>
      <c r="O28" s="2">
        <f>AVERAGE(E34)</f>
        <v>23.221629560915275</v>
      </c>
      <c r="P28">
        <v>1</v>
      </c>
      <c r="Q28" s="54">
        <v>7.8869999999999996</v>
      </c>
      <c r="R28" s="21">
        <f>Q28/(2.44/1000)</f>
        <v>3232.377049180328</v>
      </c>
      <c r="S28" s="21"/>
      <c r="Z28">
        <v>0</v>
      </c>
      <c r="AA28" s="2">
        <f>AVERAGE(E39)</f>
        <v>23.158068783068781</v>
      </c>
      <c r="AB28">
        <v>1</v>
      </c>
      <c r="AC28" s="54">
        <v>7.7309999999999999</v>
      </c>
      <c r="AD28" s="21">
        <f>AC28/(2.44/1000)</f>
        <v>3168.4426229508199</v>
      </c>
      <c r="AE28" s="21"/>
    </row>
    <row r="29" spans="1:31" x14ac:dyDescent="0.4">
      <c r="A29" s="22" t="s">
        <v>3</v>
      </c>
      <c r="B29" s="26">
        <v>3.14</v>
      </c>
      <c r="C29" s="22">
        <v>7384</v>
      </c>
      <c r="D29" s="48">
        <f>C29/C31</f>
        <v>52.331679659815734</v>
      </c>
      <c r="E29" s="29">
        <f>(D30+0.0045)/0.0056</f>
        <v>11.320428773919208</v>
      </c>
      <c r="F29" s="29">
        <f>(E29*120.15)/1000</f>
        <v>1.3601495171863929</v>
      </c>
      <c r="G29" s="35">
        <f>(C30/(C29+C30))</f>
        <v>1.1241411683222159E-3</v>
      </c>
      <c r="H29" s="50">
        <f>((G29*1000)/1.1)</f>
        <v>1.02194651665656</v>
      </c>
      <c r="I29" s="50">
        <f>(H29/120.15)*1000</f>
        <v>8.505588985905618</v>
      </c>
      <c r="J29" s="22"/>
      <c r="N29">
        <v>0.5</v>
      </c>
      <c r="O29" s="2">
        <f>AVERAGE(E85)</f>
        <v>26.275269541778975</v>
      </c>
      <c r="P29">
        <f>(2*1.25)/500</f>
        <v>5.0000000000000001E-3</v>
      </c>
      <c r="Q29" s="69" t="s">
        <v>166</v>
      </c>
      <c r="R29" s="21"/>
      <c r="S29" s="21"/>
      <c r="Z29">
        <v>0.5</v>
      </c>
      <c r="AA29" s="2">
        <f>AVERAGE(E90)</f>
        <v>25.892119244391974</v>
      </c>
      <c r="AB29">
        <f>(2*1.25)/500</f>
        <v>5.0000000000000001E-3</v>
      </c>
      <c r="AC29" s="69" t="s">
        <v>166</v>
      </c>
      <c r="AD29" s="21"/>
      <c r="AE29" s="21"/>
    </row>
    <row r="30" spans="1:31" x14ac:dyDescent="0.4">
      <c r="A30" s="22" t="s">
        <v>5</v>
      </c>
      <c r="B30" s="26">
        <v>4.83</v>
      </c>
      <c r="C30" s="22">
        <v>8.31</v>
      </c>
      <c r="D30" s="49">
        <f>C30/C31</f>
        <v>5.889440113394756E-2</v>
      </c>
      <c r="E30" s="29"/>
      <c r="F30" s="29"/>
      <c r="G30" s="48"/>
      <c r="H30" s="22"/>
      <c r="I30" s="22"/>
      <c r="J30" s="22"/>
      <c r="N30">
        <v>1</v>
      </c>
      <c r="O30" s="2">
        <f>AVERAGE(E136)</f>
        <v>29.299012158054715</v>
      </c>
      <c r="P30">
        <f>P29*2</f>
        <v>0.01</v>
      </c>
      <c r="Q30" s="54">
        <f>(Q28*0.0056)-0.0045</f>
        <v>3.96672E-2</v>
      </c>
      <c r="R30" s="21"/>
      <c r="S30" s="21"/>
      <c r="Z30">
        <v>1</v>
      </c>
      <c r="AA30" s="2">
        <f>AVERAGE(E141)</f>
        <v>29.919930013890376</v>
      </c>
      <c r="AB30">
        <f>AB29*2</f>
        <v>0.01</v>
      </c>
      <c r="AC30" s="54">
        <f>(AC28*0.0056)-0.0045</f>
        <v>3.8793600000000004E-2</v>
      </c>
      <c r="AD30" s="21"/>
      <c r="AE30" s="21"/>
    </row>
    <row r="31" spans="1:31" ht="15" thickBot="1" x14ac:dyDescent="0.45">
      <c r="A31" s="22" t="s">
        <v>4</v>
      </c>
      <c r="B31" s="30">
        <v>6.2119999999999997</v>
      </c>
      <c r="C31" s="31">
        <v>141.1</v>
      </c>
      <c r="D31" s="31"/>
      <c r="E31" s="32"/>
      <c r="F31" s="32"/>
      <c r="G31" s="36">
        <f>C31/(C29+C30+C31)</f>
        <v>1.8729897881570229E-2</v>
      </c>
      <c r="H31" s="22"/>
      <c r="I31" s="22"/>
      <c r="J31" s="22"/>
      <c r="N31">
        <v>1.5</v>
      </c>
      <c r="O31" s="2">
        <f>AVERAGE(E187)</f>
        <v>33.984929078014183</v>
      </c>
      <c r="P31">
        <f>P30*2</f>
        <v>0.02</v>
      </c>
      <c r="Q31" s="54"/>
      <c r="R31" s="21"/>
      <c r="S31" s="21"/>
      <c r="Z31">
        <v>1.5</v>
      </c>
      <c r="AA31" s="2">
        <f>AVERAGE(E192)</f>
        <v>33.5287827252113</v>
      </c>
      <c r="AB31">
        <f>AB30*2</f>
        <v>0.02</v>
      </c>
      <c r="AC31" s="54"/>
      <c r="AD31" s="21"/>
      <c r="AE31" s="21"/>
    </row>
    <row r="32" spans="1:31" ht="15" thickBot="1" x14ac:dyDescent="0.45">
      <c r="A32" s="1" t="s">
        <v>140</v>
      </c>
      <c r="B32" s="1">
        <v>20</v>
      </c>
      <c r="C32" s="1" t="s">
        <v>139</v>
      </c>
      <c r="D32" s="1"/>
      <c r="E32" s="1"/>
      <c r="F32" s="1"/>
      <c r="G32" s="1"/>
      <c r="H32" s="1"/>
      <c r="I32" s="1"/>
      <c r="N32">
        <v>2</v>
      </c>
      <c r="O32" s="2">
        <f>AVERAGE(E238)</f>
        <v>39.084413607099364</v>
      </c>
      <c r="P32">
        <f>P31*2</f>
        <v>0.04</v>
      </c>
      <c r="Q32" s="54"/>
      <c r="R32" s="21"/>
      <c r="S32" s="21"/>
      <c r="Z32">
        <v>2</v>
      </c>
      <c r="AA32" s="2">
        <f>AVERAGE(E243)</f>
        <v>38.667212336299109</v>
      </c>
      <c r="AB32">
        <f>AB31*2</f>
        <v>0.04</v>
      </c>
      <c r="AC32" s="54"/>
      <c r="AD32" s="21"/>
      <c r="AE32" s="21"/>
    </row>
    <row r="33" spans="1:31" x14ac:dyDescent="0.4">
      <c r="A33" s="22" t="s">
        <v>0</v>
      </c>
      <c r="B33" s="23" t="s">
        <v>2</v>
      </c>
      <c r="C33" s="24" t="s">
        <v>1</v>
      </c>
      <c r="D33" s="24" t="s">
        <v>11</v>
      </c>
      <c r="E33" s="8" t="s">
        <v>7</v>
      </c>
      <c r="F33" s="51" t="s">
        <v>47</v>
      </c>
      <c r="G33" s="22" t="s">
        <v>12</v>
      </c>
      <c r="H33" t="s">
        <v>8</v>
      </c>
      <c r="I33" t="s">
        <v>7</v>
      </c>
      <c r="N33" s="44">
        <v>50</v>
      </c>
      <c r="O33" s="44" t="s">
        <v>139</v>
      </c>
      <c r="P33" s="44"/>
      <c r="Q33" s="44"/>
      <c r="R33" s="44"/>
      <c r="S33" s="53"/>
      <c r="Z33" s="44">
        <v>50</v>
      </c>
      <c r="AA33" s="44" t="s">
        <v>139</v>
      </c>
      <c r="AB33" s="44"/>
      <c r="AC33" s="44"/>
      <c r="AD33" s="44"/>
      <c r="AE33" s="53"/>
    </row>
    <row r="34" spans="1:31" x14ac:dyDescent="0.4">
      <c r="A34" s="22" t="s">
        <v>3</v>
      </c>
      <c r="B34" s="26">
        <v>3.1</v>
      </c>
      <c r="C34" s="22">
        <v>7311</v>
      </c>
      <c r="D34" s="48">
        <f>C34/C36</f>
        <v>52.748917748917748</v>
      </c>
      <c r="E34" s="29">
        <f>(D35+0.0045)/0.0056</f>
        <v>23.221629560915275</v>
      </c>
      <c r="F34" s="29">
        <f>(E34*120.15)/1000</f>
        <v>2.7900787917439707</v>
      </c>
      <c r="G34" s="35">
        <f>(C35/(C34+C35))</f>
        <v>2.3743245456034059E-3</v>
      </c>
      <c r="H34" s="50">
        <f>((G34*1000)/1.1)</f>
        <v>2.1584768596394599</v>
      </c>
      <c r="I34" s="50">
        <f>(H34/120.15)*1000</f>
        <v>17.964851099787431</v>
      </c>
      <c r="N34" s="44" t="s">
        <v>14</v>
      </c>
      <c r="O34" s="44" t="s">
        <v>49</v>
      </c>
      <c r="P34" s="44" t="s">
        <v>16</v>
      </c>
      <c r="Q34" s="44" t="s">
        <v>145</v>
      </c>
      <c r="R34" s="44" t="s">
        <v>15</v>
      </c>
      <c r="S34" s="53"/>
      <c r="Z34" s="44" t="s">
        <v>14</v>
      </c>
      <c r="AA34" s="44" t="s">
        <v>49</v>
      </c>
      <c r="AB34" s="44" t="s">
        <v>16</v>
      </c>
      <c r="AC34" s="44" t="s">
        <v>145</v>
      </c>
      <c r="AD34" s="44" t="s">
        <v>15</v>
      </c>
      <c r="AE34" s="53"/>
    </row>
    <row r="35" spans="1:31" x14ac:dyDescent="0.4">
      <c r="A35" s="22" t="s">
        <v>5</v>
      </c>
      <c r="B35" s="26">
        <v>4.83</v>
      </c>
      <c r="C35" s="22">
        <v>17.399999999999999</v>
      </c>
      <c r="D35" s="49">
        <f>C35/C36</f>
        <v>0.12554112554112554</v>
      </c>
      <c r="E35" s="29"/>
      <c r="F35" s="29"/>
      <c r="G35" s="48"/>
      <c r="H35" s="22"/>
      <c r="I35" s="22"/>
      <c r="N35">
        <v>0</v>
      </c>
      <c r="O35">
        <f>AVERAGE(E44)</f>
        <v>56.777795980777626</v>
      </c>
      <c r="P35">
        <v>1</v>
      </c>
      <c r="Q35" s="54">
        <v>8.0856999999999992</v>
      </c>
      <c r="R35" s="21">
        <f>Q35/(2.44/1000)</f>
        <v>3313.811475409836</v>
      </c>
      <c r="S35" s="21"/>
      <c r="Z35">
        <v>0</v>
      </c>
      <c r="AA35">
        <f>AVERAGE(E49)</f>
        <v>55.590979888512408</v>
      </c>
      <c r="AB35">
        <v>1</v>
      </c>
      <c r="AC35" s="54">
        <v>7.4486999999999997</v>
      </c>
      <c r="AD35" s="21">
        <f>AC35/(2.44/1000)</f>
        <v>3052.7459016393441</v>
      </c>
      <c r="AE35" s="21"/>
    </row>
    <row r="36" spans="1:31" ht="15" thickBot="1" x14ac:dyDescent="0.45">
      <c r="A36" s="22" t="s">
        <v>4</v>
      </c>
      <c r="B36" s="30">
        <v>6.2119999999999997</v>
      </c>
      <c r="C36" s="31">
        <v>138.6</v>
      </c>
      <c r="D36" s="31"/>
      <c r="E36" s="32"/>
      <c r="F36" s="32"/>
      <c r="G36" s="36">
        <f>C36/(C34+C35+C36)</f>
        <v>1.856167135395741E-2</v>
      </c>
      <c r="H36" s="22"/>
      <c r="I36" s="22"/>
      <c r="N36">
        <v>0.5</v>
      </c>
      <c r="O36" s="2">
        <f>AVERAGE(E95)</f>
        <v>60.978123564538357</v>
      </c>
      <c r="P36">
        <f>(2*1.25)/500</f>
        <v>5.0000000000000001E-3</v>
      </c>
      <c r="Q36" s="69" t="s">
        <v>166</v>
      </c>
      <c r="R36" s="21"/>
      <c r="S36" s="21"/>
      <c r="Z36">
        <v>0.5</v>
      </c>
      <c r="AA36" s="2">
        <f>AVERAGE(E100)</f>
        <v>58.949514991181672</v>
      </c>
      <c r="AB36">
        <f>(2*1.25)/500</f>
        <v>5.0000000000000001E-3</v>
      </c>
      <c r="AC36" s="69" t="s">
        <v>166</v>
      </c>
      <c r="AD36" s="21"/>
      <c r="AE36" s="21"/>
    </row>
    <row r="37" spans="1:31" ht="15" thickBot="1" x14ac:dyDescent="0.45">
      <c r="A37" s="1" t="s">
        <v>140</v>
      </c>
      <c r="B37" s="1">
        <v>20</v>
      </c>
      <c r="C37" s="1" t="s">
        <v>139</v>
      </c>
      <c r="D37" s="1"/>
      <c r="E37" s="1"/>
      <c r="F37" s="1"/>
      <c r="G37" s="1"/>
      <c r="H37" s="1"/>
      <c r="I37" s="1"/>
      <c r="N37">
        <v>1</v>
      </c>
      <c r="O37" s="2">
        <f>AVERAGE(E146)</f>
        <v>64.089608190906162</v>
      </c>
      <c r="P37">
        <f>P36*2</f>
        <v>0.01</v>
      </c>
      <c r="Q37" s="54">
        <f>(Q35*0.0056)-0.0045</f>
        <v>4.0779919999999997E-2</v>
      </c>
      <c r="R37" s="21"/>
      <c r="S37" s="21"/>
      <c r="Z37">
        <v>1</v>
      </c>
      <c r="AA37" s="2">
        <f>AVERAGE(E151)</f>
        <v>62.301041554526869</v>
      </c>
      <c r="AB37">
        <f>AB36*2</f>
        <v>0.01</v>
      </c>
      <c r="AC37" s="54">
        <f>(AC35*0.0056)-0.0045</f>
        <v>3.7212719999999998E-2</v>
      </c>
      <c r="AD37" s="21"/>
      <c r="AE37" s="21"/>
    </row>
    <row r="38" spans="1:31" x14ac:dyDescent="0.4">
      <c r="A38" s="22" t="s">
        <v>0</v>
      </c>
      <c r="B38" s="23" t="s">
        <v>2</v>
      </c>
      <c r="C38" s="24" t="s">
        <v>1</v>
      </c>
      <c r="D38" s="24" t="s">
        <v>11</v>
      </c>
      <c r="E38" s="8" t="s">
        <v>7</v>
      </c>
      <c r="F38" s="51" t="s">
        <v>47</v>
      </c>
      <c r="G38" s="22" t="s">
        <v>12</v>
      </c>
      <c r="H38" t="s">
        <v>8</v>
      </c>
      <c r="I38" t="s">
        <v>7</v>
      </c>
      <c r="N38">
        <v>1.5</v>
      </c>
      <c r="O38" s="2">
        <f>AVERAGE(E197)</f>
        <v>67.948530957636919</v>
      </c>
      <c r="P38">
        <f>P37*2</f>
        <v>0.02</v>
      </c>
      <c r="Q38" s="54"/>
      <c r="R38" s="21"/>
      <c r="S38" s="21"/>
      <c r="Z38">
        <v>1.5</v>
      </c>
      <c r="AA38" s="2">
        <f>AVERAGE(E202)</f>
        <v>65.550898931000972</v>
      </c>
      <c r="AB38">
        <f>AB37*2</f>
        <v>0.02</v>
      </c>
      <c r="AC38" s="54"/>
      <c r="AD38" s="21"/>
      <c r="AE38" s="21"/>
    </row>
    <row r="39" spans="1:31" x14ac:dyDescent="0.4">
      <c r="A39" s="22" t="s">
        <v>3</v>
      </c>
      <c r="B39" s="26">
        <v>3.14</v>
      </c>
      <c r="C39" s="22">
        <v>7131</v>
      </c>
      <c r="D39" s="48">
        <f>C39/C41</f>
        <v>52.822222222222223</v>
      </c>
      <c r="E39" s="29">
        <f>(D40+0.0045)/0.0056</f>
        <v>23.158068783068781</v>
      </c>
      <c r="F39" s="29">
        <f>(E39*120.15)/1000</f>
        <v>2.7824419642857143</v>
      </c>
      <c r="G39" s="35">
        <f>(C40/(C39+C40))</f>
        <v>2.3643307824675777E-3</v>
      </c>
      <c r="H39" s="50">
        <f>((G39*1000)/1.1)</f>
        <v>2.1493916204250705</v>
      </c>
      <c r="I39" s="50">
        <f>(H39/120.15)*1000</f>
        <v>17.889235292759636</v>
      </c>
      <c r="N39">
        <v>2</v>
      </c>
      <c r="O39" s="2">
        <f>AVERAGE(E248)</f>
        <v>73.506724066174172</v>
      </c>
      <c r="P39">
        <f>P38*2</f>
        <v>0.04</v>
      </c>
      <c r="Q39" s="54"/>
      <c r="R39" s="21"/>
      <c r="S39" s="21"/>
      <c r="Z39">
        <v>2</v>
      </c>
      <c r="AA39" s="2">
        <f>AVERAGE(E253)</f>
        <v>70.911920695620509</v>
      </c>
      <c r="AB39">
        <f>AB38*2</f>
        <v>0.04</v>
      </c>
      <c r="AC39" s="54"/>
      <c r="AD39" s="21"/>
      <c r="AE39" s="21"/>
    </row>
    <row r="40" spans="1:31" x14ac:dyDescent="0.4">
      <c r="A40" s="22" t="s">
        <v>5</v>
      </c>
      <c r="B40" s="26">
        <v>4.83</v>
      </c>
      <c r="C40" s="22">
        <v>16.899999999999999</v>
      </c>
      <c r="D40" s="49">
        <f>C40/C41</f>
        <v>0.12518518518518518</v>
      </c>
      <c r="E40" s="29"/>
      <c r="F40" s="29"/>
      <c r="G40" s="48"/>
      <c r="H40" s="22"/>
      <c r="I40" s="22"/>
    </row>
    <row r="41" spans="1:31" ht="15" thickBot="1" x14ac:dyDescent="0.45">
      <c r="A41" s="22" t="s">
        <v>4</v>
      </c>
      <c r="B41" s="30">
        <v>6.2119999999999997</v>
      </c>
      <c r="C41" s="31">
        <v>135</v>
      </c>
      <c r="D41" s="31"/>
      <c r="E41" s="32"/>
      <c r="F41" s="32"/>
      <c r="G41" s="36">
        <f>C41/(C39+C40+C41)</f>
        <v>1.8536571969957023E-2</v>
      </c>
      <c r="H41" s="22"/>
      <c r="I41" s="22"/>
    </row>
    <row r="42" spans="1:31" ht="15" thickBot="1" x14ac:dyDescent="0.45">
      <c r="A42" s="1" t="s">
        <v>140</v>
      </c>
      <c r="B42" s="1">
        <v>50</v>
      </c>
      <c r="C42" s="1" t="s">
        <v>139</v>
      </c>
      <c r="D42" s="1"/>
      <c r="E42" s="1"/>
      <c r="F42" s="1"/>
      <c r="G42" s="1"/>
      <c r="H42" s="1"/>
      <c r="I42" s="1"/>
    </row>
    <row r="43" spans="1:31" x14ac:dyDescent="0.4">
      <c r="A43" s="22" t="s">
        <v>0</v>
      </c>
      <c r="B43" s="23" t="s">
        <v>2</v>
      </c>
      <c r="C43" s="24" t="s">
        <v>1</v>
      </c>
      <c r="D43" s="24" t="s">
        <v>11</v>
      </c>
      <c r="E43" s="8" t="s">
        <v>7</v>
      </c>
      <c r="F43" s="51" t="s">
        <v>47</v>
      </c>
      <c r="G43" s="22" t="s">
        <v>12</v>
      </c>
      <c r="H43" t="s">
        <v>8</v>
      </c>
      <c r="I43" t="s">
        <v>7</v>
      </c>
    </row>
    <row r="44" spans="1:31" x14ac:dyDescent="0.4">
      <c r="A44" s="22" t="s">
        <v>3</v>
      </c>
      <c r="B44" s="26">
        <v>3.1</v>
      </c>
      <c r="C44" s="22">
        <v>6926.7</v>
      </c>
      <c r="D44" s="48">
        <f>C44/C46</f>
        <v>52.956422018348619</v>
      </c>
      <c r="E44" s="29">
        <f>(D45+0.0045)/0.0056</f>
        <v>56.777795980777626</v>
      </c>
      <c r="F44" s="29">
        <f>(E44*120.15)/1000</f>
        <v>6.8218521870904327</v>
      </c>
      <c r="G44" s="35">
        <f>(C45/(C44+C45))</f>
        <v>5.8842946739957229E-3</v>
      </c>
      <c r="H44" s="50">
        <f>((G44*1000)/1.1)</f>
        <v>5.3493587945415655</v>
      </c>
      <c r="I44" s="50">
        <f>(H44/120.15)*1000</f>
        <v>44.522337033221518</v>
      </c>
    </row>
    <row r="45" spans="1:31" x14ac:dyDescent="0.4">
      <c r="A45" s="22" t="s">
        <v>5</v>
      </c>
      <c r="B45" s="26">
        <v>4.83</v>
      </c>
      <c r="C45" s="22">
        <v>41</v>
      </c>
      <c r="D45" s="49">
        <f>C45/C46</f>
        <v>0.31345565749235471</v>
      </c>
      <c r="E45" s="29"/>
      <c r="F45" s="29"/>
      <c r="G45" s="48"/>
      <c r="H45" s="22"/>
      <c r="I45" s="22"/>
    </row>
    <row r="46" spans="1:31" ht="15" thickBot="1" x14ac:dyDescent="0.45">
      <c r="A46" s="22" t="s">
        <v>4</v>
      </c>
      <c r="B46" s="30">
        <v>6.2119999999999997</v>
      </c>
      <c r="C46" s="31">
        <v>130.80000000000001</v>
      </c>
      <c r="D46" s="31"/>
      <c r="E46" s="32"/>
      <c r="F46" s="32"/>
      <c r="G46" s="36">
        <f>C46/(C44+C45+C46)</f>
        <v>1.8426428118616611E-2</v>
      </c>
      <c r="H46" s="22"/>
      <c r="I46" s="22"/>
    </row>
    <row r="47" spans="1:31" ht="15" thickBot="1" x14ac:dyDescent="0.45">
      <c r="A47" s="1" t="s">
        <v>140</v>
      </c>
      <c r="B47" s="1">
        <v>50</v>
      </c>
      <c r="C47" s="1" t="s">
        <v>139</v>
      </c>
      <c r="D47" s="1"/>
      <c r="E47" s="1"/>
      <c r="F47" s="1"/>
      <c r="G47" s="1"/>
      <c r="H47" s="1"/>
      <c r="I47" s="1"/>
    </row>
    <row r="48" spans="1:31" x14ac:dyDescent="0.4">
      <c r="A48" s="22" t="s">
        <v>0</v>
      </c>
      <c r="B48" s="23" t="s">
        <v>2</v>
      </c>
      <c r="C48" s="24" t="s">
        <v>1</v>
      </c>
      <c r="D48" s="24" t="s">
        <v>11</v>
      </c>
      <c r="E48" s="8" t="s">
        <v>7</v>
      </c>
      <c r="F48" s="51" t="s">
        <v>47</v>
      </c>
      <c r="G48" s="22" t="s">
        <v>12</v>
      </c>
      <c r="H48" t="s">
        <v>8</v>
      </c>
      <c r="I48" t="s">
        <v>7</v>
      </c>
    </row>
    <row r="49" spans="1:10" x14ac:dyDescent="0.4">
      <c r="A49" s="22" t="s">
        <v>3</v>
      </c>
      <c r="B49" s="26">
        <v>3.14</v>
      </c>
      <c r="C49" s="22">
        <v>6904</v>
      </c>
      <c r="D49" s="48">
        <f>C49/C51</f>
        <v>52.82325937260903</v>
      </c>
      <c r="E49" s="29">
        <f>(D50+0.0045)/0.0056</f>
        <v>55.590979888512408</v>
      </c>
      <c r="F49" s="29">
        <f>(E49*120.15)/1000</f>
        <v>6.6792562336047663</v>
      </c>
      <c r="G49" s="35">
        <f>(C50/(C49+C50))</f>
        <v>5.7746864244466525E-3</v>
      </c>
      <c r="H49" s="50">
        <f>((G49*1000)/1.1)</f>
        <v>5.2497149313151388</v>
      </c>
      <c r="I49" s="50">
        <f>(H49/120.15)*1000</f>
        <v>43.693008167416885</v>
      </c>
    </row>
    <row r="50" spans="1:10" x14ac:dyDescent="0.4">
      <c r="A50" s="22" t="s">
        <v>5</v>
      </c>
      <c r="B50" s="26">
        <v>4.83</v>
      </c>
      <c r="C50" s="22">
        <v>40.1</v>
      </c>
      <c r="D50" s="49">
        <f>C50/C51</f>
        <v>0.30680948737566949</v>
      </c>
      <c r="E50" s="29"/>
      <c r="F50" s="29"/>
      <c r="G50" s="48"/>
      <c r="H50" s="22"/>
      <c r="I50" s="22"/>
    </row>
    <row r="51" spans="1:10" ht="15" thickBot="1" x14ac:dyDescent="0.45">
      <c r="A51" s="22" t="s">
        <v>4</v>
      </c>
      <c r="B51" s="30">
        <v>6.2119999999999997</v>
      </c>
      <c r="C51" s="31">
        <v>130.69999999999999</v>
      </c>
      <c r="D51" s="31"/>
      <c r="E51" s="32"/>
      <c r="F51" s="32"/>
      <c r="G51" s="36">
        <f>C51/(C49+C50+C51)</f>
        <v>1.8474020467009668E-2</v>
      </c>
      <c r="H51" s="22"/>
      <c r="I51" s="22"/>
    </row>
    <row r="52" spans="1:10" x14ac:dyDescent="0.4">
      <c r="A52" s="3" t="s">
        <v>13</v>
      </c>
      <c r="B52" s="3"/>
      <c r="C52" s="3"/>
      <c r="D52" s="3"/>
      <c r="E52" s="3"/>
      <c r="F52" s="3"/>
      <c r="G52" s="3"/>
      <c r="H52" s="3"/>
      <c r="I52" s="3"/>
      <c r="J52" s="3"/>
    </row>
    <row r="53" spans="1:10" ht="15" thickBot="1" x14ac:dyDescent="0.45">
      <c r="A53" s="1" t="s">
        <v>142</v>
      </c>
      <c r="B53" s="1">
        <v>0</v>
      </c>
      <c r="C53" s="1" t="s">
        <v>139</v>
      </c>
      <c r="D53" s="1"/>
      <c r="E53" s="1"/>
      <c r="F53" s="1"/>
      <c r="G53" s="1"/>
      <c r="H53" s="1"/>
      <c r="I53" s="1"/>
    </row>
    <row r="54" spans="1:10" x14ac:dyDescent="0.4">
      <c r="A54" s="22" t="s">
        <v>0</v>
      </c>
      <c r="B54" s="23" t="s">
        <v>2</v>
      </c>
      <c r="C54" s="24" t="s">
        <v>1</v>
      </c>
      <c r="D54" s="24" t="s">
        <v>11</v>
      </c>
      <c r="E54" s="7" t="s">
        <v>7</v>
      </c>
      <c r="F54" s="52" t="s">
        <v>47</v>
      </c>
      <c r="G54" s="22" t="s">
        <v>12</v>
      </c>
      <c r="H54" t="s">
        <v>8</v>
      </c>
      <c r="I54" t="s">
        <v>7</v>
      </c>
      <c r="J54" s="22"/>
    </row>
    <row r="55" spans="1:10" x14ac:dyDescent="0.4">
      <c r="A55" s="22" t="s">
        <v>3</v>
      </c>
      <c r="B55" s="26">
        <v>3.1</v>
      </c>
      <c r="C55" s="22">
        <v>7678.5</v>
      </c>
      <c r="D55" s="48">
        <f>C55/C57</f>
        <v>52.773195876288661</v>
      </c>
      <c r="E55" s="29">
        <f>(D56+0.0045)/0.0056</f>
        <v>3.6018041237113403</v>
      </c>
      <c r="F55" s="42">
        <f>(E55*120.15)/1000</f>
        <v>0.43275676546391756</v>
      </c>
      <c r="G55" s="35">
        <f>(C56/(C55+C56))</f>
        <v>2.9684485169474971E-4</v>
      </c>
      <c r="H55" s="50">
        <f>((G55*1000)/1.1)</f>
        <v>0.26985895608613608</v>
      </c>
      <c r="I55" s="50">
        <f>(H55/120.15)*1000</f>
        <v>2.2460171126603083</v>
      </c>
      <c r="J55" s="22"/>
    </row>
    <row r="56" spans="1:10" x14ac:dyDescent="0.4">
      <c r="A56" s="22" t="s">
        <v>5</v>
      </c>
      <c r="B56" s="26">
        <v>4.83</v>
      </c>
      <c r="C56" s="22">
        <v>2.2799999999999998</v>
      </c>
      <c r="D56" s="49">
        <f>C56/C57</f>
        <v>1.5670103092783504E-2</v>
      </c>
      <c r="E56" s="22"/>
      <c r="F56" s="42"/>
      <c r="G56" s="48"/>
      <c r="H56" s="22"/>
      <c r="I56" s="22"/>
      <c r="J56" s="22"/>
    </row>
    <row r="57" spans="1:10" ht="15" thickBot="1" x14ac:dyDescent="0.45">
      <c r="A57" s="22" t="s">
        <v>4</v>
      </c>
      <c r="B57" s="30">
        <v>6.2119999999999997</v>
      </c>
      <c r="C57" s="31">
        <v>145.5</v>
      </c>
      <c r="D57" s="31"/>
      <c r="E57" s="40"/>
      <c r="F57" s="43"/>
      <c r="G57" s="36">
        <f>C57/(C55+C56+C57)</f>
        <v>1.8591208083533942E-2</v>
      </c>
      <c r="H57" s="22"/>
      <c r="I57" s="22"/>
      <c r="J57" s="22"/>
    </row>
    <row r="58" spans="1:10" ht="15" thickBot="1" x14ac:dyDescent="0.45">
      <c r="A58" s="1" t="s">
        <v>142</v>
      </c>
      <c r="B58" s="33">
        <v>0</v>
      </c>
      <c r="C58" s="33" t="s">
        <v>139</v>
      </c>
      <c r="D58" s="33"/>
      <c r="E58" s="33"/>
      <c r="F58" s="33"/>
      <c r="G58" s="1"/>
      <c r="H58" s="1"/>
      <c r="I58" s="1"/>
      <c r="J58" s="22"/>
    </row>
    <row r="59" spans="1:10" x14ac:dyDescent="0.4">
      <c r="A59" s="22" t="s">
        <v>0</v>
      </c>
      <c r="B59" s="23" t="s">
        <v>2</v>
      </c>
      <c r="C59" s="24" t="s">
        <v>1</v>
      </c>
      <c r="D59" s="24" t="s">
        <v>11</v>
      </c>
      <c r="E59" s="8" t="s">
        <v>7</v>
      </c>
      <c r="F59" s="51" t="s">
        <v>47</v>
      </c>
      <c r="G59" s="22" t="s">
        <v>12</v>
      </c>
      <c r="H59" t="s">
        <v>8</v>
      </c>
      <c r="I59" t="s">
        <v>7</v>
      </c>
      <c r="J59" s="22"/>
    </row>
    <row r="60" spans="1:10" x14ac:dyDescent="0.4">
      <c r="A60" s="22" t="s">
        <v>3</v>
      </c>
      <c r="B60" s="26">
        <v>3.14</v>
      </c>
      <c r="C60" s="22">
        <v>7221.4</v>
      </c>
      <c r="D60" s="48">
        <f>C60/C62</f>
        <v>52.366932559825955</v>
      </c>
      <c r="E60" s="29">
        <f>(D61+0.0045)/0.0056</f>
        <v>3.0567569667460894</v>
      </c>
      <c r="F60" s="29">
        <f>(E60*120.15)/1000</f>
        <v>0.36726934955454266</v>
      </c>
      <c r="G60" s="35">
        <f>(C61/(C60+C61))</f>
        <v>2.40892465049826E-4</v>
      </c>
      <c r="H60" s="50">
        <f>((G60*1000)/1.1)</f>
        <v>0.21899315004529635</v>
      </c>
      <c r="I60" s="50">
        <f>(H60/120.15)*1000</f>
        <v>1.8226645863112469</v>
      </c>
      <c r="J60" s="22"/>
    </row>
    <row r="61" spans="1:10" x14ac:dyDescent="0.4">
      <c r="A61" s="22" t="s">
        <v>5</v>
      </c>
      <c r="B61" s="26">
        <v>4.83</v>
      </c>
      <c r="C61" s="22">
        <v>1.74</v>
      </c>
      <c r="D61" s="49">
        <f>C61/C62</f>
        <v>1.2617839013778099E-2</v>
      </c>
      <c r="E61" s="29"/>
      <c r="F61" s="29"/>
      <c r="G61" s="48"/>
      <c r="H61" s="22"/>
      <c r="I61" s="22"/>
      <c r="J61" s="22"/>
    </row>
    <row r="62" spans="1:10" ht="15" thickBot="1" x14ac:dyDescent="0.45">
      <c r="A62" s="22" t="s">
        <v>4</v>
      </c>
      <c r="B62" s="30">
        <v>6.2119999999999997</v>
      </c>
      <c r="C62" s="31">
        <v>137.9</v>
      </c>
      <c r="D62" s="31"/>
      <c r="E62" s="32"/>
      <c r="F62" s="32"/>
      <c r="G62" s="36">
        <f>C62/(C60+C61+C62)</f>
        <v>1.8733765880908134E-2</v>
      </c>
      <c r="H62" s="22"/>
      <c r="I62" s="22"/>
      <c r="J62" s="22"/>
    </row>
    <row r="63" spans="1:10" ht="15" thickBot="1" x14ac:dyDescent="0.45">
      <c r="A63" s="1" t="s">
        <v>142</v>
      </c>
      <c r="B63" s="1">
        <v>2</v>
      </c>
      <c r="C63" s="1" t="s">
        <v>139</v>
      </c>
      <c r="D63" s="1"/>
      <c r="E63" s="1"/>
      <c r="F63" s="1"/>
      <c r="G63" s="1"/>
      <c r="H63" s="1"/>
      <c r="I63" s="1"/>
    </row>
    <row r="64" spans="1:10" x14ac:dyDescent="0.4">
      <c r="A64" t="s">
        <v>0</v>
      </c>
      <c r="B64" s="23" t="s">
        <v>2</v>
      </c>
      <c r="C64" s="24" t="s">
        <v>1</v>
      </c>
      <c r="D64" s="24" t="s">
        <v>11</v>
      </c>
      <c r="E64" s="8" t="s">
        <v>7</v>
      </c>
      <c r="F64" s="51" t="s">
        <v>47</v>
      </c>
      <c r="G64" s="22" t="s">
        <v>12</v>
      </c>
      <c r="H64" t="s">
        <v>8</v>
      </c>
      <c r="I64" t="s">
        <v>7</v>
      </c>
    </row>
    <row r="65" spans="1:10" x14ac:dyDescent="0.4">
      <c r="A65" t="s">
        <v>3</v>
      </c>
      <c r="B65" s="13">
        <v>3.1</v>
      </c>
      <c r="C65" s="22">
        <v>6702.5</v>
      </c>
      <c r="D65" s="2">
        <f>C65/C67</f>
        <v>52.775590551181104</v>
      </c>
      <c r="E65" s="29">
        <f>(D66+0.0045)/0.0056</f>
        <v>6.2169572553430825</v>
      </c>
      <c r="F65" s="29">
        <f>(E65*120.15)/1000</f>
        <v>0.74696741422947144</v>
      </c>
      <c r="G65" s="35">
        <f>(C66/(C65+C66))</f>
        <v>5.7408277229789671E-4</v>
      </c>
      <c r="H65" s="50">
        <f>((G65*1000)/1.1)</f>
        <v>0.52189342936172423</v>
      </c>
      <c r="I65" s="50">
        <f>(H65/120.15)*1000</f>
        <v>4.3436823084621237</v>
      </c>
    </row>
    <row r="66" spans="1:10" x14ac:dyDescent="0.4">
      <c r="A66" t="s">
        <v>5</v>
      </c>
      <c r="B66" s="13">
        <v>4.83</v>
      </c>
      <c r="C66" s="22">
        <v>3.85</v>
      </c>
      <c r="D66" s="50">
        <f>C66/C67</f>
        <v>3.0314960629921259E-2</v>
      </c>
      <c r="E66" s="9"/>
      <c r="F66" s="29"/>
      <c r="G66" s="48"/>
      <c r="H66" s="22"/>
      <c r="I66" s="22"/>
    </row>
    <row r="67" spans="1:10" ht="15" thickBot="1" x14ac:dyDescent="0.45">
      <c r="A67" t="s">
        <v>4</v>
      </c>
      <c r="B67" s="14">
        <v>6.2119999999999997</v>
      </c>
      <c r="C67" s="11">
        <v>127</v>
      </c>
      <c r="D67" s="11"/>
      <c r="E67" s="16"/>
      <c r="F67" s="32"/>
      <c r="G67" s="36">
        <f>C67/(C65+C66+C67)</f>
        <v>1.8585320523608478E-2</v>
      </c>
      <c r="H67" s="22"/>
      <c r="I67" s="22"/>
    </row>
    <row r="68" spans="1:10" ht="15" thickBot="1" x14ac:dyDescent="0.45">
      <c r="A68" s="1" t="s">
        <v>142</v>
      </c>
      <c r="B68" s="1">
        <v>2</v>
      </c>
      <c r="C68" s="1" t="s">
        <v>139</v>
      </c>
      <c r="D68" s="1"/>
      <c r="E68" s="1"/>
      <c r="F68" s="1"/>
      <c r="G68" s="1"/>
      <c r="H68" s="1"/>
      <c r="I68" s="1"/>
    </row>
    <row r="69" spans="1:10" x14ac:dyDescent="0.4">
      <c r="A69" t="s">
        <v>0</v>
      </c>
      <c r="B69" s="23" t="s">
        <v>2</v>
      </c>
      <c r="C69" s="24" t="s">
        <v>1</v>
      </c>
      <c r="D69" s="24" t="s">
        <v>11</v>
      </c>
      <c r="E69" s="8" t="s">
        <v>7</v>
      </c>
      <c r="F69" s="51" t="s">
        <v>47</v>
      </c>
      <c r="G69" s="22" t="s">
        <v>12</v>
      </c>
      <c r="H69" t="s">
        <v>8</v>
      </c>
      <c r="I69" t="s">
        <v>7</v>
      </c>
    </row>
    <row r="70" spans="1:10" x14ac:dyDescent="0.4">
      <c r="A70" t="s">
        <v>3</v>
      </c>
      <c r="B70" s="13">
        <v>3.1</v>
      </c>
      <c r="C70" s="22">
        <v>7089.9</v>
      </c>
      <c r="D70" s="2">
        <f>C70/C72</f>
        <v>52.24686809137804</v>
      </c>
      <c r="E70" s="29">
        <f>(D71+0.0045)/0.0056</f>
        <v>6.146239077797663</v>
      </c>
      <c r="F70" s="29">
        <f>(E70*120.15)/1000</f>
        <v>0.73847062519738926</v>
      </c>
      <c r="G70" s="35">
        <f>(C71/(C70+C71))</f>
        <v>5.7231785913650481E-4</v>
      </c>
      <c r="H70" s="50">
        <f>((G70*1000)/1.1)</f>
        <v>0.52028896285136794</v>
      </c>
      <c r="I70" s="50">
        <f>(H70/120.15)*1000</f>
        <v>4.3303284465365612</v>
      </c>
    </row>
    <row r="71" spans="1:10" x14ac:dyDescent="0.4">
      <c r="A71" t="s">
        <v>5</v>
      </c>
      <c r="B71" s="13">
        <v>4.83</v>
      </c>
      <c r="C71" s="22">
        <v>4.0599999999999996</v>
      </c>
      <c r="D71" s="50">
        <f>C71/C72</f>
        <v>2.9918938835666913E-2</v>
      </c>
      <c r="E71" s="9"/>
      <c r="F71" s="29"/>
      <c r="G71" s="48"/>
      <c r="H71" s="22"/>
      <c r="I71" s="22"/>
    </row>
    <row r="72" spans="1:10" ht="15" thickBot="1" x14ac:dyDescent="0.45">
      <c r="A72" t="s">
        <v>4</v>
      </c>
      <c r="B72" s="14">
        <v>6.2119999999999997</v>
      </c>
      <c r="C72" s="11">
        <v>135.69999999999999</v>
      </c>
      <c r="D72" s="11"/>
      <c r="E72" s="16"/>
      <c r="F72" s="32"/>
      <c r="G72" s="36">
        <f>C72/(C70+C71+C72)</f>
        <v>1.8769900659228785E-2</v>
      </c>
      <c r="H72" s="22"/>
      <c r="I72" s="22"/>
    </row>
    <row r="73" spans="1:10" ht="15" thickBot="1" x14ac:dyDescent="0.45">
      <c r="A73" s="1" t="s">
        <v>142</v>
      </c>
      <c r="B73" s="1">
        <v>10</v>
      </c>
      <c r="C73" s="1" t="s">
        <v>139</v>
      </c>
      <c r="D73" s="1"/>
      <c r="E73" s="1"/>
      <c r="F73" s="1"/>
      <c r="G73" s="1"/>
      <c r="H73" s="1"/>
      <c r="I73" s="1"/>
    </row>
    <row r="74" spans="1:10" x14ac:dyDescent="0.4">
      <c r="A74" s="22" t="s">
        <v>0</v>
      </c>
      <c r="B74" s="23" t="s">
        <v>2</v>
      </c>
      <c r="C74" s="24" t="s">
        <v>1</v>
      </c>
      <c r="D74" s="24" t="s">
        <v>11</v>
      </c>
      <c r="E74" s="8" t="s">
        <v>7</v>
      </c>
      <c r="F74" s="51" t="s">
        <v>47</v>
      </c>
      <c r="G74" s="22" t="s">
        <v>12</v>
      </c>
      <c r="H74" t="s">
        <v>8</v>
      </c>
      <c r="I74" t="s">
        <v>7</v>
      </c>
      <c r="J74" s="22"/>
    </row>
    <row r="75" spans="1:10" x14ac:dyDescent="0.4">
      <c r="A75" s="22" t="s">
        <v>3</v>
      </c>
      <c r="B75" s="26">
        <v>3.1</v>
      </c>
      <c r="C75" s="22">
        <v>6996.6</v>
      </c>
      <c r="D75" s="48">
        <f>C75/C77</f>
        <v>52.804528301886798</v>
      </c>
      <c r="E75" s="29">
        <f>(D76+0.0045)/0.0056</f>
        <v>14.550202156334231</v>
      </c>
      <c r="F75" s="29">
        <f>(E75*120.15)/1000</f>
        <v>1.748206789083558</v>
      </c>
      <c r="G75" s="35">
        <f>(C76/(C75+C76))</f>
        <v>1.4557287206713478E-3</v>
      </c>
      <c r="H75" s="50">
        <f>((G75*1000)/1.1)</f>
        <v>1.3233897460648616</v>
      </c>
      <c r="I75" s="50">
        <f>(H75/120.15)*1000</f>
        <v>11.014479784143667</v>
      </c>
      <c r="J75" s="22"/>
    </row>
    <row r="76" spans="1:10" x14ac:dyDescent="0.4">
      <c r="A76" s="22" t="s">
        <v>5</v>
      </c>
      <c r="B76" s="26">
        <v>4.83</v>
      </c>
      <c r="C76" s="22">
        <v>10.199999999999999</v>
      </c>
      <c r="D76" s="49">
        <f>C76/C77</f>
        <v>7.6981132075471692E-2</v>
      </c>
      <c r="E76" s="29"/>
      <c r="F76" s="29"/>
      <c r="G76" s="48"/>
      <c r="H76" s="22"/>
      <c r="I76" s="22"/>
      <c r="J76" s="22"/>
    </row>
    <row r="77" spans="1:10" ht="15" thickBot="1" x14ac:dyDescent="0.45">
      <c r="A77" s="22" t="s">
        <v>4</v>
      </c>
      <c r="B77" s="30">
        <v>6.2119999999999997</v>
      </c>
      <c r="C77" s="31">
        <v>132.5</v>
      </c>
      <c r="D77" s="31"/>
      <c r="E77" s="32"/>
      <c r="F77" s="32"/>
      <c r="G77" s="36">
        <f>C77/(C75+C76+C77)</f>
        <v>1.8559242502766377E-2</v>
      </c>
      <c r="H77" s="22"/>
      <c r="I77" s="22"/>
      <c r="J77" s="22"/>
    </row>
    <row r="78" spans="1:10" ht="15" thickBot="1" x14ac:dyDescent="0.45">
      <c r="A78" s="1" t="s">
        <v>142</v>
      </c>
      <c r="B78" s="1">
        <v>10</v>
      </c>
      <c r="C78" s="1" t="s">
        <v>139</v>
      </c>
      <c r="D78" s="1"/>
      <c r="E78" s="1"/>
      <c r="F78" s="1"/>
      <c r="G78" s="1"/>
      <c r="H78" s="1"/>
      <c r="I78" s="1"/>
    </row>
    <row r="79" spans="1:10" x14ac:dyDescent="0.4">
      <c r="A79" s="22" t="s">
        <v>0</v>
      </c>
      <c r="B79" s="23" t="s">
        <v>2</v>
      </c>
      <c r="C79" s="24" t="s">
        <v>1</v>
      </c>
      <c r="D79" s="24" t="s">
        <v>11</v>
      </c>
      <c r="E79" s="8" t="s">
        <v>7</v>
      </c>
      <c r="F79" s="51" t="s">
        <v>47</v>
      </c>
      <c r="G79" s="22" t="s">
        <v>12</v>
      </c>
      <c r="H79" t="s">
        <v>8</v>
      </c>
      <c r="I79" t="s">
        <v>7</v>
      </c>
      <c r="J79" s="22"/>
    </row>
    <row r="80" spans="1:10" x14ac:dyDescent="0.4">
      <c r="A80" s="22" t="s">
        <v>3</v>
      </c>
      <c r="B80" s="26">
        <v>3.14</v>
      </c>
      <c r="C80" s="22">
        <v>7428.6</v>
      </c>
      <c r="D80" s="48">
        <f>C80/C82</f>
        <v>52.610481586402273</v>
      </c>
      <c r="E80" s="29">
        <f>(D81+0.0045)/0.0056</f>
        <v>14.082608255766898</v>
      </c>
      <c r="F80" s="29">
        <f>(E80*120.15)/1000</f>
        <v>1.6920253819303928</v>
      </c>
      <c r="G80" s="35">
        <f>(C81/(C80+C81))</f>
        <v>1.4114610638383675E-3</v>
      </c>
      <c r="H80" s="50">
        <f>((G80*1000)/1.1)</f>
        <v>1.2831464216712432</v>
      </c>
      <c r="I80" s="50">
        <f>(H80/120.15)*1000</f>
        <v>10.679537425478511</v>
      </c>
      <c r="J80" s="22"/>
    </row>
    <row r="81" spans="1:10" x14ac:dyDescent="0.4">
      <c r="A81" s="22" t="s">
        <v>5</v>
      </c>
      <c r="B81" s="26">
        <v>4.83</v>
      </c>
      <c r="C81" s="22">
        <v>10.5</v>
      </c>
      <c r="D81" s="49">
        <f>C81/C82</f>
        <v>7.4362606232294626E-2</v>
      </c>
      <c r="E81" s="29"/>
      <c r="F81" s="29"/>
      <c r="G81" s="48"/>
      <c r="H81" s="22"/>
      <c r="I81" s="22"/>
      <c r="J81" s="22"/>
    </row>
    <row r="82" spans="1:10" ht="15" thickBot="1" x14ac:dyDescent="0.45">
      <c r="A82" s="22" t="s">
        <v>4</v>
      </c>
      <c r="B82" s="30">
        <v>6.2119999999999997</v>
      </c>
      <c r="C82" s="31">
        <v>141.19999999999999</v>
      </c>
      <c r="D82" s="31"/>
      <c r="E82" s="32"/>
      <c r="F82" s="32"/>
      <c r="G82" s="36">
        <f>C82/(C80+C81+C82)</f>
        <v>1.8627231112225109E-2</v>
      </c>
      <c r="H82" s="22"/>
      <c r="I82" s="22"/>
      <c r="J82" s="22"/>
    </row>
    <row r="83" spans="1:10" ht="15" thickBot="1" x14ac:dyDescent="0.45">
      <c r="A83" s="1" t="s">
        <v>142</v>
      </c>
      <c r="B83" s="1">
        <v>20</v>
      </c>
      <c r="C83" s="1" t="s">
        <v>139</v>
      </c>
      <c r="D83" s="1"/>
      <c r="E83" s="1"/>
      <c r="F83" s="1"/>
      <c r="G83" s="1"/>
      <c r="H83" s="1"/>
      <c r="I83" s="1"/>
    </row>
    <row r="84" spans="1:10" x14ac:dyDescent="0.4">
      <c r="A84" s="22" t="s">
        <v>0</v>
      </c>
      <c r="B84" s="23" t="s">
        <v>2</v>
      </c>
      <c r="C84" s="24" t="s">
        <v>1</v>
      </c>
      <c r="D84" s="24" t="s">
        <v>11</v>
      </c>
      <c r="E84" s="8" t="s">
        <v>7</v>
      </c>
      <c r="F84" s="51" t="s">
        <v>47</v>
      </c>
      <c r="G84" s="22" t="s">
        <v>12</v>
      </c>
      <c r="H84" t="s">
        <v>8</v>
      </c>
      <c r="I84" t="s">
        <v>7</v>
      </c>
    </row>
    <row r="85" spans="1:10" x14ac:dyDescent="0.4">
      <c r="A85" s="22" t="s">
        <v>3</v>
      </c>
      <c r="B85" s="26">
        <v>3.1</v>
      </c>
      <c r="C85" s="22">
        <v>7002.2</v>
      </c>
      <c r="D85" s="48">
        <f>C85/C87</f>
        <v>52.846792452830186</v>
      </c>
      <c r="E85" s="29">
        <f>(D86+0.0045)/0.0056</f>
        <v>26.275269541778975</v>
      </c>
      <c r="F85" s="29">
        <f>(E85*120.15)/1000</f>
        <v>3.1569736354447442</v>
      </c>
      <c r="G85" s="35">
        <f>(C86/(C85+C86))</f>
        <v>2.6918858868268504E-3</v>
      </c>
      <c r="H85" s="50">
        <f>((G85*1000)/1.1)</f>
        <v>2.447168988024409</v>
      </c>
      <c r="I85" s="50">
        <f>(H85/120.15)*1000</f>
        <v>20.367615380977185</v>
      </c>
    </row>
    <row r="86" spans="1:10" x14ac:dyDescent="0.4">
      <c r="A86" s="22" t="s">
        <v>5</v>
      </c>
      <c r="B86" s="26">
        <v>4.83</v>
      </c>
      <c r="C86" s="22">
        <v>18.899999999999999</v>
      </c>
      <c r="D86" s="49">
        <f>C86/C87</f>
        <v>0.14264150943396225</v>
      </c>
      <c r="E86" s="29"/>
      <c r="F86" s="29"/>
      <c r="G86" s="48"/>
      <c r="H86" s="22"/>
      <c r="I86" s="22"/>
    </row>
    <row r="87" spans="1:10" ht="15" thickBot="1" x14ac:dyDescent="0.45">
      <c r="A87" s="22" t="s">
        <v>4</v>
      </c>
      <c r="B87" s="30">
        <v>6.2119999999999997</v>
      </c>
      <c r="C87" s="31">
        <v>132.5</v>
      </c>
      <c r="D87" s="31"/>
      <c r="E87" s="32"/>
      <c r="F87" s="32"/>
      <c r="G87" s="36">
        <f>C87/(C85+C86+C87)</f>
        <v>1.8522142697383136E-2</v>
      </c>
      <c r="H87" s="22"/>
      <c r="I87" s="22"/>
    </row>
    <row r="88" spans="1:10" ht="15" thickBot="1" x14ac:dyDescent="0.45">
      <c r="A88" s="1" t="s">
        <v>142</v>
      </c>
      <c r="B88" s="1">
        <v>20</v>
      </c>
      <c r="C88" s="1" t="s">
        <v>139</v>
      </c>
      <c r="D88" s="1"/>
      <c r="E88" s="1"/>
      <c r="F88" s="1"/>
      <c r="G88" s="1"/>
      <c r="H88" s="1"/>
      <c r="I88" s="1"/>
    </row>
    <row r="89" spans="1:10" x14ac:dyDescent="0.4">
      <c r="A89" s="22" t="s">
        <v>0</v>
      </c>
      <c r="B89" s="23" t="s">
        <v>2</v>
      </c>
      <c r="C89" s="24" t="s">
        <v>1</v>
      </c>
      <c r="D89" s="24" t="s">
        <v>11</v>
      </c>
      <c r="E89" s="8" t="s">
        <v>7</v>
      </c>
      <c r="F89" s="51" t="s">
        <v>47</v>
      </c>
      <c r="G89" s="22" t="s">
        <v>12</v>
      </c>
      <c r="H89" t="s">
        <v>8</v>
      </c>
      <c r="I89" t="s">
        <v>7</v>
      </c>
    </row>
    <row r="90" spans="1:10" x14ac:dyDescent="0.4">
      <c r="A90" s="22" t="s">
        <v>3</v>
      </c>
      <c r="B90" s="26">
        <v>3.14</v>
      </c>
      <c r="C90" s="22">
        <v>6985.2</v>
      </c>
      <c r="D90" s="48">
        <f>C90/C92</f>
        <v>52.480841472577012</v>
      </c>
      <c r="E90" s="29">
        <f>(D91+0.0045)/0.0056</f>
        <v>25.892119244391974</v>
      </c>
      <c r="F90" s="29">
        <f>(E90*120.15)/1000</f>
        <v>3.1109381272136956</v>
      </c>
      <c r="G90" s="35">
        <f>(C91/(C90+C91))</f>
        <v>2.6699410328531246E-3</v>
      </c>
      <c r="H90" s="50">
        <f>((G90*1000)/1.1)</f>
        <v>2.4272191207755678</v>
      </c>
      <c r="I90" s="50">
        <f>(H90/120.15)*1000</f>
        <v>20.201574038914419</v>
      </c>
    </row>
    <row r="91" spans="1:10" x14ac:dyDescent="0.4">
      <c r="A91" s="22" t="s">
        <v>5</v>
      </c>
      <c r="B91" s="26">
        <v>4.83</v>
      </c>
      <c r="C91" s="22">
        <v>18.7</v>
      </c>
      <c r="D91" s="49">
        <f>C91/C92</f>
        <v>0.14049586776859505</v>
      </c>
      <c r="E91" s="29"/>
      <c r="F91" s="29"/>
      <c r="G91" s="48"/>
      <c r="H91" s="22"/>
      <c r="I91" s="22"/>
    </row>
    <row r="92" spans="1:10" ht="15" thickBot="1" x14ac:dyDescent="0.45">
      <c r="A92" s="22" t="s">
        <v>4</v>
      </c>
      <c r="B92" s="30">
        <v>6.2119999999999997</v>
      </c>
      <c r="C92" s="31">
        <v>133.1</v>
      </c>
      <c r="D92" s="31"/>
      <c r="E92" s="32"/>
      <c r="F92" s="32"/>
      <c r="G92" s="36">
        <f>C92/(C90+C91+C92)</f>
        <v>1.8649292419784223E-2</v>
      </c>
      <c r="H92" s="22"/>
      <c r="I92" s="22"/>
    </row>
    <row r="93" spans="1:10" ht="15" thickBot="1" x14ac:dyDescent="0.45">
      <c r="A93" s="1" t="s">
        <v>142</v>
      </c>
      <c r="B93" s="1">
        <v>50</v>
      </c>
      <c r="C93" s="1" t="s">
        <v>139</v>
      </c>
      <c r="D93" s="1"/>
      <c r="E93" s="1"/>
      <c r="F93" s="1"/>
      <c r="G93" s="1"/>
      <c r="H93" s="1"/>
      <c r="I93" s="1"/>
    </row>
    <row r="94" spans="1:10" x14ac:dyDescent="0.4">
      <c r="A94" s="22" t="s">
        <v>0</v>
      </c>
      <c r="B94" s="23" t="s">
        <v>2</v>
      </c>
      <c r="C94" s="24" t="s">
        <v>1</v>
      </c>
      <c r="D94" s="24" t="s">
        <v>11</v>
      </c>
      <c r="E94" s="8" t="s">
        <v>7</v>
      </c>
      <c r="F94" s="51" t="s">
        <v>47</v>
      </c>
      <c r="G94" s="22" t="s">
        <v>12</v>
      </c>
      <c r="H94" t="s">
        <v>8</v>
      </c>
      <c r="I94" t="s">
        <v>7</v>
      </c>
    </row>
    <row r="95" spans="1:10" x14ac:dyDescent="0.4">
      <c r="A95" s="22" t="s">
        <v>3</v>
      </c>
      <c r="B95" s="26">
        <v>3.1</v>
      </c>
      <c r="C95" s="22">
        <v>8215.4</v>
      </c>
      <c r="D95" s="48">
        <f>C95/C97</f>
        <v>52.832154340836013</v>
      </c>
      <c r="E95" s="29">
        <f>(D96+0.0045)/0.0056</f>
        <v>60.978123564538357</v>
      </c>
      <c r="F95" s="29">
        <f>(E95*120.15)/1000</f>
        <v>7.3265215462792836</v>
      </c>
      <c r="G95" s="35">
        <f>(C96/(C95+C96))</f>
        <v>6.3378407798930798E-3</v>
      </c>
      <c r="H95" s="50">
        <f>((G95*1000)/1.1)</f>
        <v>5.7616734362664355</v>
      </c>
      <c r="I95" s="50">
        <f>(H95/120.15)*1000</f>
        <v>47.954002798721888</v>
      </c>
    </row>
    <row r="96" spans="1:10" x14ac:dyDescent="0.4">
      <c r="A96" s="22" t="s">
        <v>5</v>
      </c>
      <c r="B96" s="26">
        <v>4.83</v>
      </c>
      <c r="C96" s="22">
        <v>52.4</v>
      </c>
      <c r="D96" s="49">
        <f>C96/C97</f>
        <v>0.3369774919614148</v>
      </c>
      <c r="E96" s="29"/>
      <c r="F96" s="29"/>
      <c r="G96" s="48"/>
      <c r="H96" s="22"/>
      <c r="I96" s="22"/>
    </row>
    <row r="97" spans="1:10" ht="15" thickBot="1" x14ac:dyDescent="0.45">
      <c r="A97" s="22" t="s">
        <v>4</v>
      </c>
      <c r="B97" s="30">
        <v>6.2119999999999997</v>
      </c>
      <c r="C97" s="31">
        <v>155.5</v>
      </c>
      <c r="D97" s="31"/>
      <c r="E97" s="32"/>
      <c r="F97" s="32"/>
      <c r="G97" s="36">
        <f>C97/(C95+C96+C97)</f>
        <v>1.8460698301140884E-2</v>
      </c>
      <c r="H97" s="22"/>
      <c r="I97" s="22"/>
    </row>
    <row r="98" spans="1:10" ht="15" thickBot="1" x14ac:dyDescent="0.45">
      <c r="A98" s="1" t="s">
        <v>142</v>
      </c>
      <c r="B98" s="1">
        <v>50</v>
      </c>
      <c r="C98" s="1" t="s">
        <v>139</v>
      </c>
      <c r="D98" s="1"/>
      <c r="E98" s="1"/>
      <c r="F98" s="1"/>
      <c r="G98" s="1"/>
      <c r="H98" s="1"/>
      <c r="I98" s="1"/>
    </row>
    <row r="99" spans="1:10" x14ac:dyDescent="0.4">
      <c r="A99" s="22" t="s">
        <v>0</v>
      </c>
      <c r="B99" s="23" t="s">
        <v>2</v>
      </c>
      <c r="C99" s="24" t="s">
        <v>1</v>
      </c>
      <c r="D99" s="24" t="s">
        <v>11</v>
      </c>
      <c r="E99" s="8" t="s">
        <v>7</v>
      </c>
      <c r="F99" s="51" t="s">
        <v>47</v>
      </c>
      <c r="G99" s="22" t="s">
        <v>12</v>
      </c>
      <c r="H99" t="s">
        <v>8</v>
      </c>
      <c r="I99" t="s">
        <v>7</v>
      </c>
    </row>
    <row r="100" spans="1:10" x14ac:dyDescent="0.4">
      <c r="A100" s="22" t="s">
        <v>3</v>
      </c>
      <c r="B100" s="26">
        <v>3.14</v>
      </c>
      <c r="C100" s="22">
        <v>6884.3</v>
      </c>
      <c r="D100" s="48">
        <f>C100/C102</f>
        <v>53.119598765432102</v>
      </c>
      <c r="E100" s="29">
        <f>(D101+0.0045)/0.0056</f>
        <v>58.949514991181672</v>
      </c>
      <c r="F100" s="29">
        <f>(E100*120.15)/1000</f>
        <v>7.0827842261904781</v>
      </c>
      <c r="G100" s="35">
        <f>(C101/(C100+C101))</f>
        <v>6.0925431314516713E-3</v>
      </c>
      <c r="H100" s="50">
        <f>((G100*1000)/1.1)</f>
        <v>5.5386755740469731</v>
      </c>
      <c r="I100" s="50">
        <f>(H100/120.15)*1000</f>
        <v>46.098007274631485</v>
      </c>
    </row>
    <row r="101" spans="1:10" x14ac:dyDescent="0.4">
      <c r="A101" s="22" t="s">
        <v>5</v>
      </c>
      <c r="B101" s="26">
        <v>4.83</v>
      </c>
      <c r="C101" s="22">
        <v>42.2</v>
      </c>
      <c r="D101" s="49">
        <f>C101/C102</f>
        <v>0.32561728395061734</v>
      </c>
      <c r="E101" s="29"/>
      <c r="F101" s="29"/>
      <c r="G101" s="48"/>
      <c r="H101" s="22"/>
      <c r="I101" s="22"/>
    </row>
    <row r="102" spans="1:10" ht="15" thickBot="1" x14ac:dyDescent="0.45">
      <c r="A102" s="22" t="s">
        <v>4</v>
      </c>
      <c r="B102" s="30">
        <v>6.2119999999999997</v>
      </c>
      <c r="C102" s="31">
        <v>129.6</v>
      </c>
      <c r="D102" s="31"/>
      <c r="E102" s="32"/>
      <c r="F102" s="32"/>
      <c r="G102" s="36">
        <f>C102/(C100+C101+C102)</f>
        <v>1.8367086634259715E-2</v>
      </c>
      <c r="H102" s="22"/>
      <c r="I102" s="22"/>
    </row>
    <row r="103" spans="1:10" x14ac:dyDescent="0.4">
      <c r="A103" s="3" t="s">
        <v>13</v>
      </c>
      <c r="B103" s="3"/>
      <c r="C103" s="3"/>
      <c r="D103" s="3"/>
      <c r="E103" s="3"/>
      <c r="F103" s="3"/>
      <c r="G103" s="3"/>
      <c r="H103" s="3"/>
      <c r="I103" s="3"/>
      <c r="J103" s="3"/>
    </row>
    <row r="104" spans="1:10" ht="15" thickBot="1" x14ac:dyDescent="0.45">
      <c r="A104" s="1" t="s">
        <v>141</v>
      </c>
      <c r="B104" s="1">
        <v>0</v>
      </c>
      <c r="C104" s="1" t="s">
        <v>139</v>
      </c>
      <c r="D104" s="1"/>
      <c r="E104" s="1"/>
      <c r="F104" s="1"/>
      <c r="G104" s="1"/>
      <c r="H104" s="1"/>
      <c r="I104" s="1"/>
    </row>
    <row r="105" spans="1:10" x14ac:dyDescent="0.4">
      <c r="A105" s="22" t="s">
        <v>0</v>
      </c>
      <c r="B105" s="23" t="s">
        <v>2</v>
      </c>
      <c r="C105" s="24" t="s">
        <v>1</v>
      </c>
      <c r="D105" s="24" t="s">
        <v>11</v>
      </c>
      <c r="E105" s="7" t="s">
        <v>7</v>
      </c>
      <c r="F105" s="52" t="s">
        <v>47</v>
      </c>
      <c r="G105" s="22" t="s">
        <v>12</v>
      </c>
      <c r="H105" t="s">
        <v>8</v>
      </c>
      <c r="I105" t="s">
        <v>7</v>
      </c>
      <c r="J105" s="22"/>
    </row>
    <row r="106" spans="1:10" x14ac:dyDescent="0.4">
      <c r="A106" s="22" t="s">
        <v>3</v>
      </c>
      <c r="B106" s="26">
        <v>3.1</v>
      </c>
      <c r="C106" s="22">
        <v>6996.1</v>
      </c>
      <c r="D106" s="48">
        <f>C106/C108</f>
        <v>52.920574886535562</v>
      </c>
      <c r="E106" s="29">
        <f>(D107+0.0045)/0.0056</f>
        <v>7.0846390749945973</v>
      </c>
      <c r="F106" s="42">
        <f>(E106*120.15)/1000</f>
        <v>0.85121938486060089</v>
      </c>
      <c r="G106" s="35">
        <f>(C107/(C106+C107))</f>
        <v>6.6421454844123849E-4</v>
      </c>
      <c r="H106" s="50">
        <f>((G106*1000)/1.1)</f>
        <v>0.60383140767385313</v>
      </c>
      <c r="I106" s="50">
        <f>(H106/120.15)*1000</f>
        <v>5.0256463393579116</v>
      </c>
      <c r="J106" s="22"/>
    </row>
    <row r="107" spans="1:10" x14ac:dyDescent="0.4">
      <c r="A107" s="22" t="s">
        <v>5</v>
      </c>
      <c r="B107" s="26">
        <v>4.83</v>
      </c>
      <c r="C107" s="22">
        <v>4.6500000000000004</v>
      </c>
      <c r="D107" s="49">
        <f>C107/C108</f>
        <v>3.5173978819969746E-2</v>
      </c>
      <c r="E107" s="22"/>
      <c r="F107" s="42"/>
      <c r="G107" s="48"/>
      <c r="H107" s="22"/>
      <c r="I107" s="22"/>
      <c r="J107" s="22"/>
    </row>
    <row r="108" spans="1:10" ht="15" thickBot="1" x14ac:dyDescent="0.45">
      <c r="A108" s="22" t="s">
        <v>4</v>
      </c>
      <c r="B108" s="30">
        <v>6.2119999999999997</v>
      </c>
      <c r="C108" s="31">
        <v>132.19999999999999</v>
      </c>
      <c r="D108" s="31"/>
      <c r="E108" s="40"/>
      <c r="F108" s="43"/>
      <c r="G108" s="36">
        <f>C108/(C106+C107+C108)</f>
        <v>1.8533706250569538E-2</v>
      </c>
      <c r="H108" s="22"/>
      <c r="I108" s="22"/>
      <c r="J108" s="22"/>
    </row>
    <row r="109" spans="1:10" ht="15" thickBot="1" x14ac:dyDescent="0.45">
      <c r="A109" s="1" t="s">
        <v>141</v>
      </c>
      <c r="B109" s="33">
        <v>0</v>
      </c>
      <c r="C109" s="33" t="s">
        <v>139</v>
      </c>
      <c r="D109" s="33"/>
      <c r="E109" s="33"/>
      <c r="F109" s="33"/>
      <c r="G109" s="1"/>
      <c r="H109" s="1"/>
      <c r="I109" s="1"/>
      <c r="J109" s="22"/>
    </row>
    <row r="110" spans="1:10" x14ac:dyDescent="0.4">
      <c r="A110" s="22" t="s">
        <v>0</v>
      </c>
      <c r="B110" s="23" t="s">
        <v>2</v>
      </c>
      <c r="C110" s="24" t="s">
        <v>1</v>
      </c>
      <c r="D110" s="24" t="s">
        <v>11</v>
      </c>
      <c r="E110" s="8" t="s">
        <v>7</v>
      </c>
      <c r="F110" s="51" t="s">
        <v>47</v>
      </c>
      <c r="G110" s="22" t="s">
        <v>12</v>
      </c>
      <c r="H110" t="s">
        <v>8</v>
      </c>
      <c r="I110" t="s">
        <v>7</v>
      </c>
      <c r="J110" s="22"/>
    </row>
    <row r="111" spans="1:10" x14ac:dyDescent="0.4">
      <c r="A111" s="22" t="s">
        <v>3</v>
      </c>
      <c r="B111" s="26">
        <v>3.14</v>
      </c>
      <c r="C111" s="22">
        <v>7183</v>
      </c>
      <c r="D111" s="48">
        <f>C111/C113</f>
        <v>52.545720555961964</v>
      </c>
      <c r="E111" s="29">
        <f>(D112+0.0045)/0.0056</f>
        <v>6.6819286236806352</v>
      </c>
      <c r="F111" s="29">
        <f>(E111*120.15)/1000</f>
        <v>0.80283372413522835</v>
      </c>
      <c r="G111" s="35">
        <f>(C112/(C111+C112))</f>
        <v>6.2608695652173918E-4</v>
      </c>
      <c r="H111" s="50">
        <f>((G111*1000)/1.1)</f>
        <v>0.56916996047430835</v>
      </c>
      <c r="I111" s="50">
        <f>(H111/120.15)*1000</f>
        <v>4.7371615520125543</v>
      </c>
      <c r="J111" s="22"/>
    </row>
    <row r="112" spans="1:10" x14ac:dyDescent="0.4">
      <c r="A112" s="22" t="s">
        <v>5</v>
      </c>
      <c r="B112" s="26">
        <v>4.83</v>
      </c>
      <c r="C112" s="22">
        <v>4.5</v>
      </c>
      <c r="D112" s="49">
        <f>C112/C113</f>
        <v>3.2918800292611558E-2</v>
      </c>
      <c r="E112" s="29"/>
      <c r="F112" s="29"/>
      <c r="G112" s="48"/>
      <c r="H112" s="22"/>
      <c r="I112" s="22"/>
      <c r="J112" s="22"/>
    </row>
    <row r="113" spans="1:10" ht="15" thickBot="1" x14ac:dyDescent="0.45">
      <c r="A113" s="22" t="s">
        <v>4</v>
      </c>
      <c r="B113" s="30">
        <v>6.2119999999999997</v>
      </c>
      <c r="C113" s="31">
        <v>136.69999999999999</v>
      </c>
      <c r="D113" s="31"/>
      <c r="E113" s="32"/>
      <c r="F113" s="32"/>
      <c r="G113" s="36">
        <f>C113/(C111+C112+C113)</f>
        <v>1.8664154446902049E-2</v>
      </c>
      <c r="H113" s="22"/>
      <c r="I113" s="22"/>
      <c r="J113" s="22"/>
    </row>
    <row r="114" spans="1:10" ht="15" thickBot="1" x14ac:dyDescent="0.45">
      <c r="A114" s="1" t="s">
        <v>141</v>
      </c>
      <c r="B114" s="1">
        <v>2</v>
      </c>
      <c r="C114" s="1" t="s">
        <v>139</v>
      </c>
      <c r="D114" s="1"/>
      <c r="E114" s="1"/>
      <c r="F114" s="1"/>
      <c r="G114" s="1"/>
      <c r="H114" s="1"/>
      <c r="I114" s="1"/>
    </row>
    <row r="115" spans="1:10" x14ac:dyDescent="0.4">
      <c r="A115" t="s">
        <v>0</v>
      </c>
      <c r="B115" s="23" t="s">
        <v>2</v>
      </c>
      <c r="C115" s="24" t="s">
        <v>1</v>
      </c>
      <c r="D115" s="24" t="s">
        <v>11</v>
      </c>
      <c r="E115" s="8" t="s">
        <v>7</v>
      </c>
      <c r="F115" s="51" t="s">
        <v>47</v>
      </c>
      <c r="G115" s="22" t="s">
        <v>12</v>
      </c>
      <c r="H115" t="s">
        <v>8</v>
      </c>
      <c r="I115" t="s">
        <v>7</v>
      </c>
    </row>
    <row r="116" spans="1:10" x14ac:dyDescent="0.4">
      <c r="A116" t="s">
        <v>3</v>
      </c>
      <c r="B116" s="13">
        <v>3.1</v>
      </c>
      <c r="C116" s="22">
        <v>7084.9</v>
      </c>
      <c r="D116" s="2">
        <f>C116/C118</f>
        <v>52.63670133729569</v>
      </c>
      <c r="E116" s="29">
        <f>(D117+0.0045)/0.0056</f>
        <v>9.9311451921035871</v>
      </c>
      <c r="F116" s="29">
        <f>(E116*120.15)/1000</f>
        <v>1.193227094831246</v>
      </c>
      <c r="G116" s="35">
        <f>(C117/(C116+C117))</f>
        <v>9.7013725750093771E-4</v>
      </c>
      <c r="H116" s="50">
        <f>((G116*1000)/1.1)</f>
        <v>0.8819429613644888</v>
      </c>
      <c r="I116" s="50">
        <f>(H116/120.15)*1000</f>
        <v>7.3403492414855496</v>
      </c>
    </row>
    <row r="117" spans="1:10" x14ac:dyDescent="0.4">
      <c r="A117" t="s">
        <v>5</v>
      </c>
      <c r="B117" s="13">
        <v>4.83</v>
      </c>
      <c r="C117" s="22">
        <v>6.88</v>
      </c>
      <c r="D117" s="50">
        <f>C117/C118</f>
        <v>5.1114413075780088E-2</v>
      </c>
      <c r="E117" s="9"/>
      <c r="F117" s="29"/>
      <c r="G117" s="48"/>
      <c r="H117" s="22"/>
      <c r="I117" s="22"/>
    </row>
    <row r="118" spans="1:10" ht="15" thickBot="1" x14ac:dyDescent="0.45">
      <c r="A118" t="s">
        <v>4</v>
      </c>
      <c r="B118" s="14">
        <v>6.2119999999999997</v>
      </c>
      <c r="C118" s="11">
        <v>134.6</v>
      </c>
      <c r="D118" s="11"/>
      <c r="E118" s="16"/>
      <c r="F118" s="32"/>
      <c r="G118" s="36">
        <f>C118/(C116+C117+C118)</f>
        <v>1.8626200116794299E-2</v>
      </c>
      <c r="H118" s="22"/>
      <c r="I118" s="22"/>
    </row>
    <row r="119" spans="1:10" ht="15" thickBot="1" x14ac:dyDescent="0.45">
      <c r="A119" s="1" t="s">
        <v>141</v>
      </c>
      <c r="B119" s="1">
        <v>2</v>
      </c>
      <c r="C119" s="1" t="s">
        <v>139</v>
      </c>
      <c r="D119" s="1"/>
      <c r="E119" s="1"/>
      <c r="F119" s="1"/>
      <c r="G119" s="1"/>
      <c r="H119" s="1"/>
      <c r="I119" s="1"/>
    </row>
    <row r="120" spans="1:10" x14ac:dyDescent="0.4">
      <c r="A120" t="s">
        <v>0</v>
      </c>
      <c r="B120" s="23" t="s">
        <v>2</v>
      </c>
      <c r="C120" s="24" t="s">
        <v>1</v>
      </c>
      <c r="D120" s="24" t="s">
        <v>11</v>
      </c>
      <c r="E120" s="8" t="s">
        <v>7</v>
      </c>
      <c r="F120" s="51" t="s">
        <v>47</v>
      </c>
      <c r="G120" s="22" t="s">
        <v>12</v>
      </c>
      <c r="H120" t="s">
        <v>8</v>
      </c>
      <c r="I120" t="s">
        <v>7</v>
      </c>
    </row>
    <row r="121" spans="1:10" x14ac:dyDescent="0.4">
      <c r="A121" t="s">
        <v>3</v>
      </c>
      <c r="B121" s="13">
        <v>3.1</v>
      </c>
      <c r="C121" s="22">
        <v>7002.2</v>
      </c>
      <c r="D121" s="2">
        <f>C121/C123</f>
        <v>52.529632408102017</v>
      </c>
      <c r="E121" s="29">
        <f>(D122+0.0045)/0.0056</f>
        <v>9.6048788982960023</v>
      </c>
      <c r="F121" s="29">
        <f>(E121*120.15)/1000</f>
        <v>1.1540261996302648</v>
      </c>
      <c r="G121" s="35">
        <f>(C122/(C121+C122))</f>
        <v>9.373970040392252E-4</v>
      </c>
      <c r="H121" s="50">
        <f>((G121*1000)/1.1)</f>
        <v>0.85217909458111374</v>
      </c>
      <c r="I121" s="50">
        <f>(H121/120.15)*1000</f>
        <v>7.0926266715032353</v>
      </c>
    </row>
    <row r="122" spans="1:10" x14ac:dyDescent="0.4">
      <c r="A122" t="s">
        <v>5</v>
      </c>
      <c r="B122" s="13">
        <v>4.83</v>
      </c>
      <c r="C122" s="22">
        <v>6.57</v>
      </c>
      <c r="D122" s="50">
        <f>C122/C123</f>
        <v>4.9287321830457614E-2</v>
      </c>
      <c r="E122" s="9"/>
      <c r="F122" s="29"/>
      <c r="G122" s="48"/>
      <c r="H122" s="22"/>
      <c r="I122" s="22"/>
    </row>
    <row r="123" spans="1:10" ht="15" thickBot="1" x14ac:dyDescent="0.45">
      <c r="A123" t="s">
        <v>4</v>
      </c>
      <c r="B123" s="14">
        <v>6.2119999999999997</v>
      </c>
      <c r="C123" s="11">
        <v>133.30000000000001</v>
      </c>
      <c r="D123" s="11"/>
      <c r="E123" s="16"/>
      <c r="F123" s="32"/>
      <c r="G123" s="36">
        <f>C123/(C121+C122+C123)</f>
        <v>1.8664056779057053E-2</v>
      </c>
      <c r="H123" s="22"/>
      <c r="I123" s="22"/>
    </row>
    <row r="124" spans="1:10" ht="15" thickBot="1" x14ac:dyDescent="0.45">
      <c r="A124" s="1" t="s">
        <v>141</v>
      </c>
      <c r="B124" s="1">
        <v>10</v>
      </c>
      <c r="C124" s="1" t="s">
        <v>139</v>
      </c>
      <c r="D124" s="1"/>
      <c r="E124" s="1"/>
      <c r="F124" s="1"/>
      <c r="G124" s="1"/>
      <c r="H124" s="1"/>
      <c r="I124" s="1"/>
    </row>
    <row r="125" spans="1:10" x14ac:dyDescent="0.4">
      <c r="A125" s="22" t="s">
        <v>0</v>
      </c>
      <c r="B125" s="23" t="s">
        <v>2</v>
      </c>
      <c r="C125" s="24" t="s">
        <v>1</v>
      </c>
      <c r="D125" s="24" t="s">
        <v>11</v>
      </c>
      <c r="E125" s="8" t="s">
        <v>7</v>
      </c>
      <c r="F125" s="51" t="s">
        <v>47</v>
      </c>
      <c r="G125" s="22" t="s">
        <v>12</v>
      </c>
      <c r="H125" t="s">
        <v>8</v>
      </c>
      <c r="I125" t="s">
        <v>7</v>
      </c>
      <c r="J125" s="22"/>
    </row>
    <row r="126" spans="1:10" x14ac:dyDescent="0.4">
      <c r="A126" s="22" t="s">
        <v>3</v>
      </c>
      <c r="B126" s="26">
        <v>3.1</v>
      </c>
      <c r="C126" s="22">
        <v>7124.3</v>
      </c>
      <c r="D126" s="48">
        <f>C126/C128</f>
        <v>52.616691285081238</v>
      </c>
      <c r="E126" s="29">
        <f>(D127+0.0045)/0.0056</f>
        <v>18.476076176408526</v>
      </c>
      <c r="F126" s="29">
        <f>(E126*120.15)/1000</f>
        <v>2.2199005525954845</v>
      </c>
      <c r="G126" s="35">
        <f>(C127/(C126+C127))</f>
        <v>1.8773554506353589E-3</v>
      </c>
      <c r="H126" s="50">
        <f>((G126*1000)/1.1)</f>
        <v>1.7066867733048716</v>
      </c>
      <c r="I126" s="50">
        <f>(H126/120.15)*1000</f>
        <v>14.204633985059271</v>
      </c>
      <c r="J126" s="22"/>
    </row>
    <row r="127" spans="1:10" x14ac:dyDescent="0.4">
      <c r="A127" s="22" t="s">
        <v>5</v>
      </c>
      <c r="B127" s="26">
        <v>4.83</v>
      </c>
      <c r="C127" s="22">
        <v>13.4</v>
      </c>
      <c r="D127" s="49">
        <f>C127/C128</f>
        <v>9.8966026587887737E-2</v>
      </c>
      <c r="E127" s="29"/>
      <c r="F127" s="29"/>
      <c r="G127" s="48"/>
      <c r="H127" s="22"/>
      <c r="I127" s="22"/>
      <c r="J127" s="22"/>
    </row>
    <row r="128" spans="1:10" ht="15" thickBot="1" x14ac:dyDescent="0.45">
      <c r="A128" s="22" t="s">
        <v>4</v>
      </c>
      <c r="B128" s="30">
        <v>6.2119999999999997</v>
      </c>
      <c r="C128" s="31">
        <v>135.4</v>
      </c>
      <c r="D128" s="31"/>
      <c r="E128" s="32"/>
      <c r="F128" s="32"/>
      <c r="G128" s="36">
        <f>C128/(C126+C127+C128)</f>
        <v>1.8616545902022524E-2</v>
      </c>
      <c r="H128" s="22"/>
      <c r="I128" s="22"/>
      <c r="J128" s="22"/>
    </row>
    <row r="129" spans="1:10" ht="15" thickBot="1" x14ac:dyDescent="0.45">
      <c r="A129" s="1" t="s">
        <v>141</v>
      </c>
      <c r="B129" s="1">
        <v>10</v>
      </c>
      <c r="C129" s="1" t="s">
        <v>139</v>
      </c>
      <c r="D129" s="1"/>
      <c r="E129" s="1"/>
      <c r="F129" s="1"/>
      <c r="G129" s="1"/>
      <c r="H129" s="1"/>
      <c r="I129" s="1"/>
    </row>
    <row r="130" spans="1:10" x14ac:dyDescent="0.4">
      <c r="A130" s="22" t="s">
        <v>0</v>
      </c>
      <c r="B130" s="23" t="s">
        <v>2</v>
      </c>
      <c r="C130" s="24" t="s">
        <v>1</v>
      </c>
      <c r="D130" s="24" t="s">
        <v>11</v>
      </c>
      <c r="E130" s="8" t="s">
        <v>7</v>
      </c>
      <c r="F130" s="51" t="s">
        <v>47</v>
      </c>
      <c r="G130" s="22" t="s">
        <v>12</v>
      </c>
      <c r="H130" t="s">
        <v>8</v>
      </c>
      <c r="I130" t="s">
        <v>7</v>
      </c>
      <c r="J130" s="22"/>
    </row>
    <row r="131" spans="1:10" x14ac:dyDescent="0.4">
      <c r="A131" s="22" t="s">
        <v>3</v>
      </c>
      <c r="B131" s="26">
        <v>3.14</v>
      </c>
      <c r="C131" s="22">
        <v>7015.9</v>
      </c>
      <c r="D131" s="48">
        <f>C131/C133</f>
        <v>52.553558052434454</v>
      </c>
      <c r="E131" s="29">
        <f>(D132+0.0045)/0.0056</f>
        <v>17.791265382557516</v>
      </c>
      <c r="F131" s="29">
        <f>(E131*120.15)/1000</f>
        <v>2.1376205357142859</v>
      </c>
      <c r="G131" s="35">
        <f>(C132/(C131+C132))</f>
        <v>1.8069032239706343E-3</v>
      </c>
      <c r="H131" s="50">
        <f>((G131*1000)/1.1)</f>
        <v>1.6426392945187582</v>
      </c>
      <c r="I131" s="50">
        <f>(H131/120.15)*1000</f>
        <v>13.67157132350194</v>
      </c>
      <c r="J131" s="22"/>
    </row>
    <row r="132" spans="1:10" x14ac:dyDescent="0.4">
      <c r="A132" s="22" t="s">
        <v>5</v>
      </c>
      <c r="B132" s="26">
        <v>4.83</v>
      </c>
      <c r="C132" s="22">
        <v>12.7</v>
      </c>
      <c r="D132" s="49">
        <f>C132/C133</f>
        <v>9.5131086142322088E-2</v>
      </c>
      <c r="E132" s="29"/>
      <c r="F132" s="29"/>
      <c r="G132" s="48"/>
      <c r="H132" s="22"/>
      <c r="I132" s="22"/>
      <c r="J132" s="22"/>
    </row>
    <row r="133" spans="1:10" ht="15" thickBot="1" x14ac:dyDescent="0.45">
      <c r="A133" s="22" t="s">
        <v>4</v>
      </c>
      <c r="B133" s="30">
        <v>6.2119999999999997</v>
      </c>
      <c r="C133" s="31">
        <v>133.5</v>
      </c>
      <c r="D133" s="31"/>
      <c r="E133" s="32"/>
      <c r="F133" s="32"/>
      <c r="G133" s="36">
        <f>C133/(C131+C132+C133)</f>
        <v>1.8639784420770446E-2</v>
      </c>
      <c r="H133" s="22"/>
      <c r="I133" s="22"/>
      <c r="J133" s="22"/>
    </row>
    <row r="134" spans="1:10" ht="15" thickBot="1" x14ac:dyDescent="0.45">
      <c r="A134" s="1" t="s">
        <v>141</v>
      </c>
      <c r="B134" s="1">
        <v>20</v>
      </c>
      <c r="C134" s="1" t="s">
        <v>139</v>
      </c>
      <c r="D134" s="1"/>
      <c r="E134" s="1"/>
      <c r="F134" s="1"/>
      <c r="G134" s="1"/>
      <c r="H134" s="1"/>
      <c r="I134" s="1"/>
    </row>
    <row r="135" spans="1:10" x14ac:dyDescent="0.4">
      <c r="A135" s="22" t="s">
        <v>0</v>
      </c>
      <c r="B135" s="23" t="s">
        <v>2</v>
      </c>
      <c r="C135" s="24" t="s">
        <v>1</v>
      </c>
      <c r="D135" s="24" t="s">
        <v>11</v>
      </c>
      <c r="E135" s="8" t="s">
        <v>7</v>
      </c>
      <c r="F135" s="51" t="s">
        <v>47</v>
      </c>
      <c r="G135" s="22" t="s">
        <v>12</v>
      </c>
      <c r="H135" t="s">
        <v>8</v>
      </c>
      <c r="I135" t="s">
        <v>7</v>
      </c>
    </row>
    <row r="136" spans="1:10" x14ac:dyDescent="0.4">
      <c r="A136" s="22" t="s">
        <v>3</v>
      </c>
      <c r="B136" s="26">
        <v>3.1</v>
      </c>
      <c r="C136" s="22">
        <v>6915</v>
      </c>
      <c r="D136" s="48">
        <f>C136/C138</f>
        <v>52.545592705167174</v>
      </c>
      <c r="E136" s="29">
        <f>(D137+0.0045)/0.0056</f>
        <v>29.299012158054715</v>
      </c>
      <c r="F136" s="29">
        <f>(E136*120.15)/1000</f>
        <v>3.5202763107902744</v>
      </c>
      <c r="G136" s="35">
        <f>(C137/(C136+C137))</f>
        <v>3.027681660899654E-3</v>
      </c>
      <c r="H136" s="50">
        <f>((G136*1000)/1.1)</f>
        <v>2.7524378735451398</v>
      </c>
      <c r="I136" s="50">
        <f>(H136/120.15)*1000</f>
        <v>22.908346845985346</v>
      </c>
    </row>
    <row r="137" spans="1:10" x14ac:dyDescent="0.4">
      <c r="A137" s="22" t="s">
        <v>5</v>
      </c>
      <c r="B137" s="26">
        <v>4.83</v>
      </c>
      <c r="C137" s="22">
        <v>21</v>
      </c>
      <c r="D137" s="49">
        <f>C137/C138</f>
        <v>0.15957446808510639</v>
      </c>
      <c r="E137" s="29"/>
      <c r="F137" s="29"/>
      <c r="G137" s="48"/>
      <c r="H137" s="22"/>
      <c r="I137" s="22"/>
    </row>
    <row r="138" spans="1:10" ht="15" thickBot="1" x14ac:dyDescent="0.45">
      <c r="A138" s="22" t="s">
        <v>4</v>
      </c>
      <c r="B138" s="30">
        <v>6.2119999999999997</v>
      </c>
      <c r="C138" s="31">
        <v>131.6</v>
      </c>
      <c r="D138" s="31"/>
      <c r="E138" s="32"/>
      <c r="F138" s="32"/>
      <c r="G138" s="36">
        <f>C138/(C136+C137+C138)</f>
        <v>1.8620182240081495E-2</v>
      </c>
      <c r="H138" s="22"/>
      <c r="I138" s="22"/>
    </row>
    <row r="139" spans="1:10" ht="15" thickBot="1" x14ac:dyDescent="0.45">
      <c r="A139" s="1" t="s">
        <v>141</v>
      </c>
      <c r="B139" s="1">
        <v>20</v>
      </c>
      <c r="C139" s="1" t="s">
        <v>139</v>
      </c>
      <c r="D139" s="1"/>
      <c r="E139" s="1"/>
      <c r="F139" s="1"/>
      <c r="G139" s="1"/>
      <c r="H139" s="1"/>
      <c r="I139" s="1"/>
    </row>
    <row r="140" spans="1:10" x14ac:dyDescent="0.4">
      <c r="A140" s="22" t="s">
        <v>0</v>
      </c>
      <c r="B140" s="23" t="s">
        <v>2</v>
      </c>
      <c r="C140" s="24" t="s">
        <v>1</v>
      </c>
      <c r="D140" s="24" t="s">
        <v>11</v>
      </c>
      <c r="E140" s="8" t="s">
        <v>7</v>
      </c>
      <c r="F140" s="51" t="s">
        <v>47</v>
      </c>
      <c r="G140" s="22" t="s">
        <v>12</v>
      </c>
      <c r="H140" t="s">
        <v>8</v>
      </c>
      <c r="I140" t="s">
        <v>7</v>
      </c>
    </row>
    <row r="141" spans="1:10" x14ac:dyDescent="0.4">
      <c r="A141" s="22" t="s">
        <v>3</v>
      </c>
      <c r="B141" s="26">
        <v>3.14</v>
      </c>
      <c r="C141" s="22">
        <v>6978</v>
      </c>
      <c r="D141" s="48">
        <f>C141/C143</f>
        <v>52.191473448017952</v>
      </c>
      <c r="E141" s="29">
        <f>(D142+0.0045)/0.0056</f>
        <v>29.919930013890376</v>
      </c>
      <c r="F141" s="29">
        <f>(E141*120.15)/1000</f>
        <v>3.5948795911689291</v>
      </c>
      <c r="G141" s="35">
        <f>(C142/(C141+C142))</f>
        <v>3.1143746964198979E-3</v>
      </c>
      <c r="H141" s="50">
        <f>((G141*1000)/1.1)</f>
        <v>2.8312497240180887</v>
      </c>
      <c r="I141" s="50">
        <f>(H141/120.15)*1000</f>
        <v>23.564292334732322</v>
      </c>
    </row>
    <row r="142" spans="1:10" x14ac:dyDescent="0.4">
      <c r="A142" s="22" t="s">
        <v>5</v>
      </c>
      <c r="B142" s="26">
        <v>4.83</v>
      </c>
      <c r="C142" s="22">
        <v>21.8</v>
      </c>
      <c r="D142" s="49">
        <f>C142/C143</f>
        <v>0.1630516080777861</v>
      </c>
      <c r="E142" s="29"/>
      <c r="F142" s="29"/>
      <c r="G142" s="48"/>
      <c r="H142" s="22"/>
      <c r="I142" s="22"/>
    </row>
    <row r="143" spans="1:10" ht="15" thickBot="1" x14ac:dyDescent="0.45">
      <c r="A143" s="22" t="s">
        <v>4</v>
      </c>
      <c r="B143" s="30">
        <v>6.2119999999999997</v>
      </c>
      <c r="C143" s="31">
        <v>133.69999999999999</v>
      </c>
      <c r="D143" s="31"/>
      <c r="E143" s="32"/>
      <c r="F143" s="32"/>
      <c r="G143" s="36">
        <f>C143/(C141+C142+C143)</f>
        <v>1.8742552744094764E-2</v>
      </c>
      <c r="H143" s="22"/>
      <c r="I143" s="22"/>
    </row>
    <row r="144" spans="1:10" ht="15" thickBot="1" x14ac:dyDescent="0.45">
      <c r="A144" s="1" t="s">
        <v>141</v>
      </c>
      <c r="B144" s="1">
        <v>50</v>
      </c>
      <c r="C144" s="1" t="s">
        <v>139</v>
      </c>
      <c r="D144" s="1"/>
      <c r="E144" s="1"/>
      <c r="F144" s="1"/>
      <c r="G144" s="1"/>
      <c r="H144" s="1"/>
      <c r="I144" s="1"/>
    </row>
    <row r="145" spans="1:10" x14ac:dyDescent="0.4">
      <c r="A145" s="22" t="s">
        <v>0</v>
      </c>
      <c r="B145" s="23" t="s">
        <v>2</v>
      </c>
      <c r="C145" s="24" t="s">
        <v>1</v>
      </c>
      <c r="D145" s="24" t="s">
        <v>11</v>
      </c>
      <c r="E145" s="8" t="s">
        <v>7</v>
      </c>
      <c r="F145" s="51" t="s">
        <v>47</v>
      </c>
      <c r="G145" s="22" t="s">
        <v>12</v>
      </c>
      <c r="H145" t="s">
        <v>8</v>
      </c>
      <c r="I145" t="s">
        <v>7</v>
      </c>
    </row>
    <row r="146" spans="1:10" x14ac:dyDescent="0.4">
      <c r="A146" s="22" t="s">
        <v>3</v>
      </c>
      <c r="B146" s="26">
        <v>3.1</v>
      </c>
      <c r="C146" s="22">
        <v>7001.2</v>
      </c>
      <c r="D146" s="48">
        <f>C146/C148</f>
        <v>52.680210684725353</v>
      </c>
      <c r="E146" s="29">
        <f>(D147+0.0045)/0.0056</f>
        <v>64.089608190906162</v>
      </c>
      <c r="F146" s="29">
        <f>(E146*120.15)/1000</f>
        <v>7.7003664241373757</v>
      </c>
      <c r="G146" s="35">
        <f>(C147/(C146+C147))</f>
        <v>6.6824624377509467E-3</v>
      </c>
      <c r="H146" s="50">
        <f>((G146*1000)/1.1)</f>
        <v>6.0749658525008599</v>
      </c>
      <c r="I146" s="50">
        <f>(H146/120.15)*1000</f>
        <v>50.561513545575188</v>
      </c>
    </row>
    <row r="147" spans="1:10" x14ac:dyDescent="0.4">
      <c r="A147" s="22" t="s">
        <v>5</v>
      </c>
      <c r="B147" s="26">
        <v>4.83</v>
      </c>
      <c r="C147" s="22">
        <v>47.1</v>
      </c>
      <c r="D147" s="49">
        <f>C147/C148</f>
        <v>0.35440180586907449</v>
      </c>
      <c r="E147" s="29"/>
      <c r="F147" s="29"/>
      <c r="G147" s="48"/>
      <c r="H147" s="22"/>
      <c r="I147" s="22"/>
    </row>
    <row r="148" spans="1:10" ht="15" thickBot="1" x14ac:dyDescent="0.45">
      <c r="A148" s="22" t="s">
        <v>4</v>
      </c>
      <c r="B148" s="30">
        <v>6.2119999999999997</v>
      </c>
      <c r="C148" s="31">
        <v>132.9</v>
      </c>
      <c r="D148" s="31"/>
      <c r="E148" s="32"/>
      <c r="F148" s="32"/>
      <c r="G148" s="36">
        <f>C148/(C146+C147+C148)</f>
        <v>1.8506656269147218E-2</v>
      </c>
      <c r="H148" s="22"/>
      <c r="I148" s="22"/>
    </row>
    <row r="149" spans="1:10" ht="15" thickBot="1" x14ac:dyDescent="0.45">
      <c r="A149" s="1" t="s">
        <v>141</v>
      </c>
      <c r="B149" s="1">
        <v>50</v>
      </c>
      <c r="C149" s="1" t="s">
        <v>139</v>
      </c>
      <c r="D149" s="1"/>
      <c r="E149" s="1"/>
      <c r="F149" s="1"/>
      <c r="G149" s="1"/>
      <c r="H149" s="1"/>
      <c r="I149" s="1"/>
    </row>
    <row r="150" spans="1:10" x14ac:dyDescent="0.4">
      <c r="A150" s="22" t="s">
        <v>0</v>
      </c>
      <c r="B150" s="23" t="s">
        <v>2</v>
      </c>
      <c r="C150" s="24" t="s">
        <v>1</v>
      </c>
      <c r="D150" s="24" t="s">
        <v>11</v>
      </c>
      <c r="E150" s="8" t="s">
        <v>7</v>
      </c>
      <c r="F150" s="51" t="s">
        <v>47</v>
      </c>
      <c r="G150" s="22" t="s">
        <v>12</v>
      </c>
      <c r="H150" t="s">
        <v>8</v>
      </c>
      <c r="I150" t="s">
        <v>7</v>
      </c>
    </row>
    <row r="151" spans="1:10" x14ac:dyDescent="0.4">
      <c r="A151" s="22" t="s">
        <v>3</v>
      </c>
      <c r="B151" s="26">
        <v>3.14</v>
      </c>
      <c r="C151" s="22">
        <v>6996.4</v>
      </c>
      <c r="D151" s="48">
        <f>C151/C153</f>
        <v>52.723436322532031</v>
      </c>
      <c r="E151" s="29">
        <f>(D152+0.0045)/0.0056</f>
        <v>62.301041554526869</v>
      </c>
      <c r="F151" s="29">
        <f>(E151*120.15)/1000</f>
        <v>7.4854701427764043</v>
      </c>
      <c r="G151" s="35">
        <f>(C152/(C151+C152))</f>
        <v>6.4895414720040909E-3</v>
      </c>
      <c r="H151" s="50">
        <f>((G151*1000)/1.1)</f>
        <v>5.8995831563673553</v>
      </c>
      <c r="I151" s="50">
        <f>(H151/120.15)*1000</f>
        <v>49.101815700102833</v>
      </c>
    </row>
    <row r="152" spans="1:10" x14ac:dyDescent="0.4">
      <c r="A152" s="22" t="s">
        <v>5</v>
      </c>
      <c r="B152" s="26">
        <v>4.83</v>
      </c>
      <c r="C152" s="22">
        <v>45.7</v>
      </c>
      <c r="D152" s="49">
        <f>C152/C153</f>
        <v>0.34438583270535045</v>
      </c>
      <c r="E152" s="29"/>
      <c r="F152" s="29"/>
      <c r="G152" s="48"/>
      <c r="H152" s="22"/>
      <c r="I152" s="22"/>
    </row>
    <row r="153" spans="1:10" ht="15" thickBot="1" x14ac:dyDescent="0.45">
      <c r="A153" s="22" t="s">
        <v>4</v>
      </c>
      <c r="B153" s="30">
        <v>6.2119999999999997</v>
      </c>
      <c r="C153" s="31">
        <v>132.69999999999999</v>
      </c>
      <c r="D153" s="31"/>
      <c r="E153" s="32"/>
      <c r="F153" s="32"/>
      <c r="G153" s="36">
        <f>C153/(C151+C152+C153)</f>
        <v>1.8495289067291074E-2</v>
      </c>
      <c r="H153" s="22"/>
      <c r="I153" s="22"/>
    </row>
    <row r="154" spans="1:10" x14ac:dyDescent="0.4">
      <c r="A154" s="3" t="s">
        <v>13</v>
      </c>
      <c r="B154" s="3"/>
      <c r="C154" s="3"/>
      <c r="D154" s="3"/>
      <c r="E154" s="3"/>
      <c r="F154" s="3"/>
      <c r="G154" s="3"/>
      <c r="H154" s="3"/>
      <c r="I154" s="3"/>
      <c r="J154" s="3"/>
    </row>
    <row r="155" spans="1:10" ht="15" thickBot="1" x14ac:dyDescent="0.45">
      <c r="A155" s="1" t="s">
        <v>143</v>
      </c>
      <c r="B155" s="1">
        <v>0</v>
      </c>
      <c r="C155" s="1" t="s">
        <v>139</v>
      </c>
      <c r="D155" s="1"/>
      <c r="E155" s="1"/>
      <c r="F155" s="1"/>
      <c r="G155" s="1"/>
      <c r="H155" s="1"/>
      <c r="I155" s="1"/>
    </row>
    <row r="156" spans="1:10" x14ac:dyDescent="0.4">
      <c r="A156" s="22" t="s">
        <v>0</v>
      </c>
      <c r="B156" s="23" t="s">
        <v>2</v>
      </c>
      <c r="C156" s="24" t="s">
        <v>1</v>
      </c>
      <c r="D156" s="24" t="s">
        <v>11</v>
      </c>
      <c r="E156" s="7" t="s">
        <v>7</v>
      </c>
      <c r="F156" s="52" t="s">
        <v>47</v>
      </c>
      <c r="G156" s="22" t="s">
        <v>12</v>
      </c>
      <c r="H156" t="s">
        <v>8</v>
      </c>
      <c r="I156" t="s">
        <v>7</v>
      </c>
      <c r="J156" s="22"/>
    </row>
    <row r="157" spans="1:10" x14ac:dyDescent="0.4">
      <c r="A157" s="22" t="s">
        <v>3</v>
      </c>
      <c r="B157" s="26">
        <v>3.1</v>
      </c>
      <c r="C157" s="22">
        <v>7137</v>
      </c>
      <c r="D157" s="48">
        <f>C157/C159</f>
        <v>53.063197026022301</v>
      </c>
      <c r="E157" s="29">
        <f>(D158+0.0045)/0.0056</f>
        <v>10.933682952734996</v>
      </c>
      <c r="F157" s="42">
        <f>(E157*120.15)/1000</f>
        <v>1.3136820067711099</v>
      </c>
      <c r="G157" s="35">
        <f>(C158/(C157+C158))</f>
        <v>1.0679349385482523E-3</v>
      </c>
      <c r="H157" s="50">
        <f>((G157*1000)/1.1)</f>
        <v>0.97084994413477477</v>
      </c>
      <c r="I157" s="50">
        <f>(H157/120.15)*1000</f>
        <v>8.0803158063651672</v>
      </c>
      <c r="J157" s="22"/>
    </row>
    <row r="158" spans="1:10" x14ac:dyDescent="0.4">
      <c r="A158" s="22" t="s">
        <v>5</v>
      </c>
      <c r="B158" s="26">
        <v>4.83</v>
      </c>
      <c r="C158" s="22">
        <v>7.63</v>
      </c>
      <c r="D158" s="49">
        <f>C158/C159</f>
        <v>5.6728624535315984E-2</v>
      </c>
      <c r="E158" s="22"/>
      <c r="F158" s="42"/>
      <c r="G158" s="48"/>
      <c r="H158" s="22"/>
      <c r="I158" s="22"/>
      <c r="J158" s="22"/>
    </row>
    <row r="159" spans="1:10" ht="15" thickBot="1" x14ac:dyDescent="0.45">
      <c r="A159" s="22" t="s">
        <v>4</v>
      </c>
      <c r="B159" s="30">
        <v>6.2119999999999997</v>
      </c>
      <c r="C159" s="31">
        <v>134.5</v>
      </c>
      <c r="D159" s="31"/>
      <c r="E159" s="40"/>
      <c r="F159" s="43"/>
      <c r="G159" s="36">
        <f>C159/(C157+C158+C159)</f>
        <v>1.8477482886004235E-2</v>
      </c>
      <c r="H159" s="22"/>
      <c r="I159" s="22"/>
      <c r="J159" s="22"/>
    </row>
    <row r="160" spans="1:10" ht="15" thickBot="1" x14ac:dyDescent="0.45">
      <c r="A160" s="1" t="s">
        <v>143</v>
      </c>
      <c r="B160" s="33">
        <v>0</v>
      </c>
      <c r="C160" s="33" t="s">
        <v>139</v>
      </c>
      <c r="D160" s="33"/>
      <c r="E160" s="33"/>
      <c r="F160" s="33"/>
      <c r="G160" s="1"/>
      <c r="H160" s="1"/>
      <c r="I160" s="1"/>
      <c r="J160" s="22"/>
    </row>
    <row r="161" spans="1:10" x14ac:dyDescent="0.4">
      <c r="A161" s="22" t="s">
        <v>0</v>
      </c>
      <c r="B161" s="23" t="s">
        <v>2</v>
      </c>
      <c r="C161" s="24" t="s">
        <v>1</v>
      </c>
      <c r="D161" s="24" t="s">
        <v>11</v>
      </c>
      <c r="E161" s="8" t="s">
        <v>7</v>
      </c>
      <c r="F161" s="51" t="s">
        <v>47</v>
      </c>
      <c r="G161" s="22" t="s">
        <v>12</v>
      </c>
      <c r="H161" t="s">
        <v>8</v>
      </c>
      <c r="I161" t="s">
        <v>7</v>
      </c>
      <c r="J161" s="22"/>
    </row>
    <row r="162" spans="1:10" x14ac:dyDescent="0.4">
      <c r="A162" s="22" t="s">
        <v>3</v>
      </c>
      <c r="B162" s="26">
        <v>3.14</v>
      </c>
      <c r="C162" s="22">
        <v>7275.2</v>
      </c>
      <c r="D162" s="48">
        <f>C162/C164</f>
        <v>52.528519855595668</v>
      </c>
      <c r="E162" s="29">
        <f>(D163+0.0045)/0.0056</f>
        <v>10.731369262506446</v>
      </c>
      <c r="F162" s="29">
        <f>(E162*120.15)/1000</f>
        <v>1.2893740168901495</v>
      </c>
      <c r="G162" s="35">
        <f>(C163/(C162+C163))</f>
        <v>1.0572711419901415E-3</v>
      </c>
      <c r="H162" s="50">
        <f>((G162*1000)/1.1)</f>
        <v>0.96115558362740128</v>
      </c>
      <c r="I162" s="50">
        <f>(H162/120.15)*1000</f>
        <v>7.999630325654608</v>
      </c>
      <c r="J162" s="22"/>
    </row>
    <row r="163" spans="1:10" x14ac:dyDescent="0.4">
      <c r="A163" s="22" t="s">
        <v>5</v>
      </c>
      <c r="B163" s="26">
        <v>4.83</v>
      </c>
      <c r="C163" s="22">
        <v>7.7</v>
      </c>
      <c r="D163" s="49">
        <f>C163/C164</f>
        <v>5.55956678700361E-2</v>
      </c>
      <c r="E163" s="29"/>
      <c r="F163" s="29"/>
      <c r="G163" s="48"/>
      <c r="H163" s="22"/>
      <c r="I163" s="22"/>
      <c r="J163" s="22"/>
    </row>
    <row r="164" spans="1:10" ht="15" thickBot="1" x14ac:dyDescent="0.45">
      <c r="A164" s="22" t="s">
        <v>4</v>
      </c>
      <c r="B164" s="30">
        <v>6.2119999999999997</v>
      </c>
      <c r="C164" s="31">
        <v>138.5</v>
      </c>
      <c r="D164" s="31"/>
      <c r="E164" s="32"/>
      <c r="F164" s="32"/>
      <c r="G164" s="36">
        <f>C164/(C162+C163+C164)</f>
        <v>1.8662247015387934E-2</v>
      </c>
      <c r="H164" s="22"/>
      <c r="I164" s="22"/>
      <c r="J164" s="22"/>
    </row>
    <row r="165" spans="1:10" ht="15" thickBot="1" x14ac:dyDescent="0.45">
      <c r="A165" s="1" t="s">
        <v>143</v>
      </c>
      <c r="B165" s="1">
        <v>2</v>
      </c>
      <c r="C165" s="1" t="s">
        <v>139</v>
      </c>
      <c r="D165" s="1"/>
      <c r="E165" s="1"/>
      <c r="F165" s="1"/>
      <c r="G165" s="1"/>
      <c r="H165" s="1"/>
      <c r="I165" s="1"/>
    </row>
    <row r="166" spans="1:10" x14ac:dyDescent="0.4">
      <c r="A166" t="s">
        <v>0</v>
      </c>
      <c r="B166" s="23" t="s">
        <v>2</v>
      </c>
      <c r="C166" s="24" t="s">
        <v>1</v>
      </c>
      <c r="D166" s="24" t="s">
        <v>11</v>
      </c>
      <c r="E166" s="8" t="s">
        <v>7</v>
      </c>
      <c r="F166" s="51" t="s">
        <v>47</v>
      </c>
      <c r="G166" s="22" t="s">
        <v>12</v>
      </c>
      <c r="H166" t="s">
        <v>8</v>
      </c>
      <c r="I166" t="s">
        <v>7</v>
      </c>
    </row>
    <row r="167" spans="1:10" x14ac:dyDescent="0.4">
      <c r="A167" t="s">
        <v>3</v>
      </c>
      <c r="B167" s="13">
        <v>3.1</v>
      </c>
      <c r="C167" s="22">
        <v>7232.9</v>
      </c>
      <c r="D167" s="2">
        <f>C167/C169</f>
        <v>52.564680232558139</v>
      </c>
      <c r="E167" s="29">
        <f>(D168+0.0045)/0.0056</f>
        <v>14.170473421926912</v>
      </c>
      <c r="F167" s="29">
        <f>(E167*120.15)/1000</f>
        <v>1.7025823816445187</v>
      </c>
      <c r="G167" s="35">
        <f>(C168/(C167+C168))</f>
        <v>1.4220234150651647E-3</v>
      </c>
      <c r="H167" s="50">
        <f>((G167*1000)/1.1)</f>
        <v>1.2927485591501497</v>
      </c>
      <c r="I167" s="50">
        <f>(H167/120.15)*1000</f>
        <v>10.759455340409071</v>
      </c>
    </row>
    <row r="168" spans="1:10" x14ac:dyDescent="0.4">
      <c r="A168" t="s">
        <v>5</v>
      </c>
      <c r="B168" s="13">
        <v>4.83</v>
      </c>
      <c r="C168" s="22">
        <v>10.3</v>
      </c>
      <c r="D168" s="50">
        <f>C168/C169</f>
        <v>7.4854651162790706E-2</v>
      </c>
      <c r="E168" s="9"/>
      <c r="F168" s="29"/>
      <c r="G168" s="48"/>
      <c r="H168" s="22"/>
      <c r="I168" s="22"/>
    </row>
    <row r="169" spans="1:10" ht="15" thickBot="1" x14ac:dyDescent="0.45">
      <c r="A169" t="s">
        <v>4</v>
      </c>
      <c r="B169" s="14">
        <v>6.2119999999999997</v>
      </c>
      <c r="C169" s="11">
        <v>137.6</v>
      </c>
      <c r="D169" s="11"/>
      <c r="E169" s="16"/>
      <c r="F169" s="32"/>
      <c r="G169" s="36">
        <f>C169/(C167+C168+C169)</f>
        <v>1.8642965532191632E-2</v>
      </c>
      <c r="H169" s="22"/>
      <c r="I169" s="22"/>
    </row>
    <row r="170" spans="1:10" ht="15" thickBot="1" x14ac:dyDescent="0.45">
      <c r="A170" s="1" t="s">
        <v>143</v>
      </c>
      <c r="B170" s="1">
        <v>2</v>
      </c>
      <c r="C170" s="1" t="s">
        <v>139</v>
      </c>
      <c r="D170" s="1"/>
      <c r="E170" s="1"/>
      <c r="F170" s="1"/>
      <c r="G170" s="1"/>
      <c r="H170" s="1"/>
      <c r="I170" s="1"/>
    </row>
    <row r="171" spans="1:10" x14ac:dyDescent="0.4">
      <c r="A171" t="s">
        <v>0</v>
      </c>
      <c r="B171" s="23" t="s">
        <v>2</v>
      </c>
      <c r="C171" s="24" t="s">
        <v>1</v>
      </c>
      <c r="D171" s="24" t="s">
        <v>11</v>
      </c>
      <c r="E171" s="8" t="s">
        <v>7</v>
      </c>
      <c r="F171" s="51" t="s">
        <v>47</v>
      </c>
      <c r="G171" s="22" t="s">
        <v>12</v>
      </c>
      <c r="H171" t="s">
        <v>8</v>
      </c>
      <c r="I171" t="s">
        <v>7</v>
      </c>
    </row>
    <row r="172" spans="1:10" x14ac:dyDescent="0.4">
      <c r="A172" t="s">
        <v>3</v>
      </c>
      <c r="B172" s="13">
        <v>3.1</v>
      </c>
      <c r="C172" s="22">
        <v>7349.2</v>
      </c>
      <c r="D172" s="2">
        <f>C172/C174</f>
        <v>52.607015032211883</v>
      </c>
      <c r="E172" s="29">
        <f>(D173+0.0045)/0.0056</f>
        <v>13.969539318948771</v>
      </c>
      <c r="F172" s="29">
        <f>(E172*120.15)/1000</f>
        <v>1.6784401491716949</v>
      </c>
      <c r="G172" s="35">
        <f>(C173/(C172+C173))</f>
        <v>1.3995515999728244E-3</v>
      </c>
      <c r="H172" s="50">
        <f>((G172*1000)/1.1)</f>
        <v>1.2723196363389313</v>
      </c>
      <c r="I172" s="50">
        <f>(H172/120.15)*1000</f>
        <v>10.58942685259202</v>
      </c>
    </row>
    <row r="173" spans="1:10" x14ac:dyDescent="0.4">
      <c r="A173" t="s">
        <v>5</v>
      </c>
      <c r="B173" s="13">
        <v>4.83</v>
      </c>
      <c r="C173" s="22">
        <v>10.3</v>
      </c>
      <c r="D173" s="50">
        <f>C173/C174</f>
        <v>7.3729420186113115E-2</v>
      </c>
      <c r="E173" s="9"/>
      <c r="F173" s="29"/>
      <c r="G173" s="48"/>
      <c r="H173" s="22"/>
      <c r="I173" s="22"/>
    </row>
    <row r="174" spans="1:10" ht="15" thickBot="1" x14ac:dyDescent="0.45">
      <c r="A174" t="s">
        <v>4</v>
      </c>
      <c r="B174" s="14">
        <v>6.2119999999999997</v>
      </c>
      <c r="C174" s="11">
        <v>139.69999999999999</v>
      </c>
      <c r="D174" s="11"/>
      <c r="E174" s="16"/>
      <c r="F174" s="32"/>
      <c r="G174" s="36">
        <f>C174/(C172+C173+C174)</f>
        <v>1.8628653723063791E-2</v>
      </c>
      <c r="H174" s="22"/>
      <c r="I174" s="22"/>
    </row>
    <row r="175" spans="1:10" ht="15" thickBot="1" x14ac:dyDescent="0.45">
      <c r="A175" s="1" t="s">
        <v>143</v>
      </c>
      <c r="B175" s="1">
        <v>10</v>
      </c>
      <c r="C175" s="1" t="s">
        <v>139</v>
      </c>
      <c r="D175" s="1"/>
      <c r="E175" s="1"/>
      <c r="F175" s="1"/>
      <c r="G175" s="1"/>
      <c r="H175" s="1"/>
      <c r="I175" s="1"/>
    </row>
    <row r="176" spans="1:10" x14ac:dyDescent="0.4">
      <c r="A176" s="22" t="s">
        <v>0</v>
      </c>
      <c r="B176" s="23" t="s">
        <v>2</v>
      </c>
      <c r="C176" s="24" t="s">
        <v>1</v>
      </c>
      <c r="D176" s="24" t="s">
        <v>11</v>
      </c>
      <c r="E176" s="8" t="s">
        <v>7</v>
      </c>
      <c r="F176" s="51" t="s">
        <v>47</v>
      </c>
      <c r="G176" s="22" t="s">
        <v>12</v>
      </c>
      <c r="H176" t="s">
        <v>8</v>
      </c>
      <c r="I176" t="s">
        <v>7</v>
      </c>
      <c r="J176" s="22"/>
    </row>
    <row r="177" spans="1:10" x14ac:dyDescent="0.4">
      <c r="A177" s="22" t="s">
        <v>3</v>
      </c>
      <c r="B177" s="26">
        <v>3.1</v>
      </c>
      <c r="C177" s="22">
        <v>7229.7</v>
      </c>
      <c r="D177" s="48">
        <f>C177/C179</f>
        <v>52.848684210526308</v>
      </c>
      <c r="E177" s="29">
        <f>(D178+0.0045)/0.0056</f>
        <v>22.602861319966578</v>
      </c>
      <c r="F177" s="29">
        <f>(E177*120.15)/1000</f>
        <v>2.7157337875939849</v>
      </c>
      <c r="G177" s="35">
        <f>(C178/(C177+C178))</f>
        <v>2.3045926253035991E-3</v>
      </c>
      <c r="H177" s="50">
        <f>((G177*1000)/1.1)</f>
        <v>2.0950842048214535</v>
      </c>
      <c r="I177" s="50">
        <f>(H177/120.15)*1000</f>
        <v>17.437238492063699</v>
      </c>
      <c r="J177" s="22"/>
    </row>
    <row r="178" spans="1:10" x14ac:dyDescent="0.4">
      <c r="A178" s="22" t="s">
        <v>5</v>
      </c>
      <c r="B178" s="26">
        <v>4.83</v>
      </c>
      <c r="C178" s="22">
        <v>16.7</v>
      </c>
      <c r="D178" s="49">
        <f>C178/C179</f>
        <v>0.12207602339181285</v>
      </c>
      <c r="E178" s="29"/>
      <c r="F178" s="29"/>
      <c r="G178" s="48"/>
      <c r="H178" s="22"/>
      <c r="I178" s="22"/>
      <c r="J178" s="22"/>
    </row>
    <row r="179" spans="1:10" ht="15" thickBot="1" x14ac:dyDescent="0.45">
      <c r="A179" s="22" t="s">
        <v>4</v>
      </c>
      <c r="B179" s="30">
        <v>6.2119999999999997</v>
      </c>
      <c r="C179" s="31">
        <v>136.80000000000001</v>
      </c>
      <c r="D179" s="31"/>
      <c r="E179" s="32"/>
      <c r="F179" s="32"/>
      <c r="G179" s="36">
        <f>C179/(C177+C178+C179)</f>
        <v>1.8528551305666923E-2</v>
      </c>
      <c r="H179" s="22"/>
      <c r="I179" s="22"/>
      <c r="J179" s="22"/>
    </row>
    <row r="180" spans="1:10" ht="15" thickBot="1" x14ac:dyDescent="0.45">
      <c r="A180" s="1" t="s">
        <v>143</v>
      </c>
      <c r="B180" s="1">
        <v>10</v>
      </c>
      <c r="C180" s="1" t="s">
        <v>139</v>
      </c>
      <c r="D180" s="1"/>
      <c r="E180" s="1"/>
      <c r="F180" s="1"/>
      <c r="G180" s="1"/>
      <c r="H180" s="1"/>
      <c r="I180" s="1"/>
    </row>
    <row r="181" spans="1:10" x14ac:dyDescent="0.4">
      <c r="A181" s="22" t="s">
        <v>0</v>
      </c>
      <c r="B181" s="23" t="s">
        <v>2</v>
      </c>
      <c r="C181" s="24" t="s">
        <v>1</v>
      </c>
      <c r="D181" s="24" t="s">
        <v>11</v>
      </c>
      <c r="E181" s="8" t="s">
        <v>7</v>
      </c>
      <c r="F181" s="51" t="s">
        <v>47</v>
      </c>
      <c r="G181" s="22" t="s">
        <v>12</v>
      </c>
      <c r="H181" t="s">
        <v>8</v>
      </c>
      <c r="I181" t="s">
        <v>7</v>
      </c>
      <c r="J181" s="22"/>
    </row>
    <row r="182" spans="1:10" x14ac:dyDescent="0.4">
      <c r="A182" s="22" t="s">
        <v>3</v>
      </c>
      <c r="B182" s="26">
        <v>3.14</v>
      </c>
      <c r="C182" s="22">
        <v>7397.7</v>
      </c>
      <c r="D182" s="48">
        <f>C182/C184</f>
        <v>52.540482954545446</v>
      </c>
      <c r="E182" s="29">
        <f>(D183+0.0045)/0.0056</f>
        <v>21.856737012987015</v>
      </c>
      <c r="F182" s="29">
        <f>(E182*120.15)/1000</f>
        <v>2.62608695211039</v>
      </c>
      <c r="G182" s="35">
        <f>(C183/(C182+C183))</f>
        <v>2.2389166880217959E-3</v>
      </c>
      <c r="H182" s="50">
        <f>((G182*1000)/1.1)</f>
        <v>2.0353788072925414</v>
      </c>
      <c r="I182" s="50">
        <f>(H182/120.15)*1000</f>
        <v>16.94031466743688</v>
      </c>
      <c r="J182" s="22"/>
    </row>
    <row r="183" spans="1:10" x14ac:dyDescent="0.4">
      <c r="A183" s="22" t="s">
        <v>5</v>
      </c>
      <c r="B183" s="26">
        <v>4.83</v>
      </c>
      <c r="C183" s="22">
        <v>16.600000000000001</v>
      </c>
      <c r="D183" s="49">
        <f>C183/C184</f>
        <v>0.11789772727272728</v>
      </c>
      <c r="E183" s="29"/>
      <c r="F183" s="29"/>
      <c r="G183" s="48"/>
      <c r="H183" s="22"/>
      <c r="I183" s="22"/>
      <c r="J183" s="22"/>
    </row>
    <row r="184" spans="1:10" ht="15" thickBot="1" x14ac:dyDescent="0.45">
      <c r="A184" s="22" t="s">
        <v>4</v>
      </c>
      <c r="B184" s="30">
        <v>6.2119999999999997</v>
      </c>
      <c r="C184" s="31">
        <v>140.80000000000001</v>
      </c>
      <c r="D184" s="31"/>
      <c r="E184" s="32"/>
      <c r="F184" s="32"/>
      <c r="G184" s="36">
        <f>C184/(C182+C183+C184)</f>
        <v>1.8636417784013447E-2</v>
      </c>
      <c r="H184" s="22"/>
      <c r="I184" s="22"/>
      <c r="J184" s="22"/>
    </row>
    <row r="185" spans="1:10" ht="15" thickBot="1" x14ac:dyDescent="0.45">
      <c r="A185" s="1" t="s">
        <v>143</v>
      </c>
      <c r="B185" s="1">
        <v>20</v>
      </c>
      <c r="C185" s="1" t="s">
        <v>139</v>
      </c>
      <c r="D185" s="1"/>
      <c r="E185" s="1"/>
      <c r="F185" s="1"/>
      <c r="G185" s="1"/>
      <c r="H185" s="1"/>
      <c r="I185" s="1"/>
    </row>
    <row r="186" spans="1:10" x14ac:dyDescent="0.4">
      <c r="A186" s="22" t="s">
        <v>0</v>
      </c>
      <c r="B186" s="23" t="s">
        <v>2</v>
      </c>
      <c r="C186" s="24" t="s">
        <v>1</v>
      </c>
      <c r="D186" s="24" t="s">
        <v>11</v>
      </c>
      <c r="E186" s="8" t="s">
        <v>7</v>
      </c>
      <c r="F186" s="51" t="s">
        <v>47</v>
      </c>
      <c r="G186" s="22" t="s">
        <v>12</v>
      </c>
      <c r="H186" t="s">
        <v>8</v>
      </c>
      <c r="I186" t="s">
        <v>7</v>
      </c>
    </row>
    <row r="187" spans="1:10" x14ac:dyDescent="0.4">
      <c r="A187" s="22" t="s">
        <v>3</v>
      </c>
      <c r="B187" s="26">
        <v>3.1</v>
      </c>
      <c r="C187" s="22">
        <v>7401.6</v>
      </c>
      <c r="D187" s="48">
        <f>C187/C189</f>
        <v>52.493617021276599</v>
      </c>
      <c r="E187" s="29">
        <f>(D188+0.0045)/0.0056</f>
        <v>33.984929078014183</v>
      </c>
      <c r="F187" s="29">
        <f>(E187*120.15)/1000</f>
        <v>4.0832892287234044</v>
      </c>
      <c r="G187" s="35">
        <f>(C188/(C187+C188))</f>
        <v>3.5272893723578987E-3</v>
      </c>
      <c r="H187" s="50">
        <f>((G187*1000)/1.1)</f>
        <v>3.2066267021435442</v>
      </c>
      <c r="I187" s="50">
        <f>(H187/120.15)*1000</f>
        <v>26.688528523874691</v>
      </c>
    </row>
    <row r="188" spans="1:10" x14ac:dyDescent="0.4">
      <c r="A188" s="22" t="s">
        <v>5</v>
      </c>
      <c r="B188" s="26">
        <v>4.83</v>
      </c>
      <c r="C188" s="22">
        <v>26.2</v>
      </c>
      <c r="D188" s="49">
        <f>C188/C189</f>
        <v>0.18581560283687942</v>
      </c>
      <c r="E188" s="29"/>
      <c r="F188" s="29"/>
      <c r="G188" s="48"/>
      <c r="H188" s="22"/>
      <c r="I188" s="22"/>
    </row>
    <row r="189" spans="1:10" ht="15" thickBot="1" x14ac:dyDescent="0.45">
      <c r="A189" s="22" t="s">
        <v>4</v>
      </c>
      <c r="B189" s="30">
        <v>6.2119999999999997</v>
      </c>
      <c r="C189" s="31">
        <v>141</v>
      </c>
      <c r="D189" s="31"/>
      <c r="E189" s="32"/>
      <c r="F189" s="32"/>
      <c r="G189" s="36">
        <f>C189/(C187+C188+C189)</f>
        <v>1.8629108973681429E-2</v>
      </c>
      <c r="H189" s="22"/>
      <c r="I189" s="22"/>
    </row>
    <row r="190" spans="1:10" ht="15" thickBot="1" x14ac:dyDescent="0.45">
      <c r="A190" s="1" t="s">
        <v>143</v>
      </c>
      <c r="B190" s="1">
        <v>20</v>
      </c>
      <c r="C190" s="1" t="s">
        <v>139</v>
      </c>
      <c r="D190" s="1"/>
      <c r="E190" s="1"/>
      <c r="F190" s="1"/>
      <c r="G190" s="1"/>
      <c r="H190" s="1"/>
      <c r="I190" s="1"/>
    </row>
    <row r="191" spans="1:10" x14ac:dyDescent="0.4">
      <c r="A191" s="22" t="s">
        <v>0</v>
      </c>
      <c r="B191" s="23" t="s">
        <v>2</v>
      </c>
      <c r="C191" s="24" t="s">
        <v>1</v>
      </c>
      <c r="D191" s="24" t="s">
        <v>11</v>
      </c>
      <c r="E191" s="8" t="s">
        <v>7</v>
      </c>
      <c r="F191" s="51" t="s">
        <v>47</v>
      </c>
      <c r="G191" s="22" t="s">
        <v>12</v>
      </c>
      <c r="H191" t="s">
        <v>8</v>
      </c>
      <c r="I191" t="s">
        <v>7</v>
      </c>
    </row>
    <row r="192" spans="1:10" x14ac:dyDescent="0.4">
      <c r="A192" s="22" t="s">
        <v>3</v>
      </c>
      <c r="B192" s="26">
        <v>3.14</v>
      </c>
      <c r="C192" s="22">
        <v>7308.5</v>
      </c>
      <c r="D192" s="48">
        <f>C192/C194</f>
        <v>52.730880230880231</v>
      </c>
      <c r="E192" s="29">
        <f>(D193+0.0045)/0.0056</f>
        <v>33.5287827252113</v>
      </c>
      <c r="F192" s="29">
        <f>(E192*120.15)/1000</f>
        <v>4.0284832444341374</v>
      </c>
      <c r="G192" s="35">
        <f>(C193/(C192+C193))</f>
        <v>3.4633687396882968E-3</v>
      </c>
      <c r="H192" s="50">
        <f>((G192*1000)/1.1)</f>
        <v>3.1485170360802694</v>
      </c>
      <c r="I192" s="50">
        <f>(H192/120.15)*1000</f>
        <v>26.204885860010563</v>
      </c>
    </row>
    <row r="193" spans="1:10" x14ac:dyDescent="0.4">
      <c r="A193" s="22" t="s">
        <v>5</v>
      </c>
      <c r="B193" s="26">
        <v>4.83</v>
      </c>
      <c r="C193" s="22">
        <v>25.4</v>
      </c>
      <c r="D193" s="49">
        <f>C193/C194</f>
        <v>0.18326118326118326</v>
      </c>
      <c r="E193" s="29"/>
      <c r="F193" s="29"/>
      <c r="G193" s="48"/>
      <c r="H193" s="22"/>
      <c r="I193" s="22"/>
    </row>
    <row r="194" spans="1:10" ht="15" thickBot="1" x14ac:dyDescent="0.45">
      <c r="A194" s="22" t="s">
        <v>4</v>
      </c>
      <c r="B194" s="30">
        <v>6.2119999999999997</v>
      </c>
      <c r="C194" s="31">
        <v>138.6</v>
      </c>
      <c r="D194" s="31"/>
      <c r="E194" s="32"/>
      <c r="F194" s="32"/>
      <c r="G194" s="36">
        <f>C194/(C192+C193+C194)</f>
        <v>1.8548009367681497E-2</v>
      </c>
      <c r="H194" s="22"/>
      <c r="I194" s="22"/>
    </row>
    <row r="195" spans="1:10" ht="15" thickBot="1" x14ac:dyDescent="0.45">
      <c r="A195" s="1" t="s">
        <v>143</v>
      </c>
      <c r="B195" s="1">
        <v>50</v>
      </c>
      <c r="C195" s="1" t="s">
        <v>139</v>
      </c>
      <c r="D195" s="1"/>
      <c r="E195" s="1"/>
      <c r="F195" s="1"/>
      <c r="G195" s="1"/>
      <c r="H195" s="1"/>
      <c r="I195" s="1"/>
    </row>
    <row r="196" spans="1:10" x14ac:dyDescent="0.4">
      <c r="A196" s="22" t="s">
        <v>0</v>
      </c>
      <c r="B196" s="23" t="s">
        <v>2</v>
      </c>
      <c r="C196" s="24" t="s">
        <v>1</v>
      </c>
      <c r="D196" s="24" t="s">
        <v>11</v>
      </c>
      <c r="E196" s="8" t="s">
        <v>7</v>
      </c>
      <c r="F196" s="51" t="s">
        <v>47</v>
      </c>
      <c r="G196" s="22" t="s">
        <v>12</v>
      </c>
      <c r="H196" t="s">
        <v>8</v>
      </c>
      <c r="I196" t="s">
        <v>7</v>
      </c>
    </row>
    <row r="197" spans="1:10" x14ac:dyDescent="0.4">
      <c r="A197" s="22" t="s">
        <v>3</v>
      </c>
      <c r="B197" s="26">
        <v>3.1</v>
      </c>
      <c r="C197" s="22">
        <v>7153.6</v>
      </c>
      <c r="D197" s="48">
        <f>C197/C199</f>
        <v>52.638704930095656</v>
      </c>
      <c r="E197" s="29">
        <f>(D198+0.0045)/0.0056</f>
        <v>67.948530957636919</v>
      </c>
      <c r="F197" s="29">
        <f>(E197*120.15)/1000</f>
        <v>8.1640159945600761</v>
      </c>
      <c r="G197" s="35">
        <f>(C198/(C197+C198))</f>
        <v>7.0925923355587318E-3</v>
      </c>
      <c r="H197" s="50">
        <f>((G197*1000)/1.1)</f>
        <v>6.4478112141443011</v>
      </c>
      <c r="I197" s="50">
        <f>(H197/120.15)*1000</f>
        <v>53.664679268783196</v>
      </c>
    </row>
    <row r="198" spans="1:10" x14ac:dyDescent="0.4">
      <c r="A198" s="22" t="s">
        <v>5</v>
      </c>
      <c r="B198" s="26">
        <v>4.83</v>
      </c>
      <c r="C198" s="22">
        <v>51.1</v>
      </c>
      <c r="D198" s="49">
        <f>C198/C199</f>
        <v>0.37601177336276675</v>
      </c>
      <c r="E198" s="29"/>
      <c r="F198" s="29"/>
      <c r="G198" s="48"/>
      <c r="H198" s="22"/>
      <c r="I198" s="22"/>
    </row>
    <row r="199" spans="1:10" ht="15" thickBot="1" x14ac:dyDescent="0.45">
      <c r="A199" s="22" t="s">
        <v>4</v>
      </c>
      <c r="B199" s="30">
        <v>6.2119999999999997</v>
      </c>
      <c r="C199" s="31">
        <v>135.9</v>
      </c>
      <c r="D199" s="31"/>
      <c r="E199" s="32"/>
      <c r="F199" s="32"/>
      <c r="G199" s="36">
        <f>C199/(C197+C198+C199)</f>
        <v>1.8513473013105197E-2</v>
      </c>
      <c r="H199" s="22"/>
      <c r="I199" s="22"/>
    </row>
    <row r="200" spans="1:10" ht="15" thickBot="1" x14ac:dyDescent="0.45">
      <c r="A200" s="1" t="s">
        <v>143</v>
      </c>
      <c r="B200" s="1">
        <v>50</v>
      </c>
      <c r="C200" s="1" t="s">
        <v>139</v>
      </c>
      <c r="D200" s="1"/>
      <c r="E200" s="1"/>
      <c r="F200" s="1"/>
      <c r="G200" s="1"/>
      <c r="H200" s="1"/>
      <c r="I200" s="1"/>
    </row>
    <row r="201" spans="1:10" x14ac:dyDescent="0.4">
      <c r="A201" s="22" t="s">
        <v>0</v>
      </c>
      <c r="B201" s="23" t="s">
        <v>2</v>
      </c>
      <c r="C201" s="24" t="s">
        <v>1</v>
      </c>
      <c r="D201" s="24" t="s">
        <v>11</v>
      </c>
      <c r="E201" s="8" t="s">
        <v>7</v>
      </c>
      <c r="F201" s="51" t="s">
        <v>47</v>
      </c>
      <c r="G201" s="22" t="s">
        <v>12</v>
      </c>
      <c r="H201" t="s">
        <v>8</v>
      </c>
      <c r="I201" t="s">
        <v>7</v>
      </c>
    </row>
    <row r="202" spans="1:10" x14ac:dyDescent="0.4">
      <c r="A202" s="22" t="s">
        <v>3</v>
      </c>
      <c r="B202" s="26">
        <v>3.14</v>
      </c>
      <c r="C202" s="22">
        <v>7719.9</v>
      </c>
      <c r="D202" s="48">
        <f>C202/C204</f>
        <v>52.51632653061224</v>
      </c>
      <c r="E202" s="29">
        <f>(D203+0.0045)/0.0056</f>
        <v>65.550898931000972</v>
      </c>
      <c r="F202" s="29">
        <f>(E202*120.15)/1000</f>
        <v>7.8759405065597674</v>
      </c>
      <c r="G202" s="35">
        <f>(C203/(C202+C203))</f>
        <v>6.8568929141151645E-3</v>
      </c>
      <c r="H202" s="50">
        <f>((G202*1000)/1.1)</f>
        <v>6.233539012831967</v>
      </c>
      <c r="I202" s="50">
        <f>(H202/120.15)*1000</f>
        <v>51.881306806757941</v>
      </c>
    </row>
    <row r="203" spans="1:10" x14ac:dyDescent="0.4">
      <c r="A203" s="22" t="s">
        <v>5</v>
      </c>
      <c r="B203" s="26">
        <v>4.83</v>
      </c>
      <c r="C203" s="22">
        <v>53.3</v>
      </c>
      <c r="D203" s="49">
        <f>C203/C204</f>
        <v>0.36258503401360542</v>
      </c>
      <c r="E203" s="29"/>
      <c r="F203" s="29"/>
      <c r="G203" s="48"/>
      <c r="H203" s="22"/>
      <c r="I203" s="22"/>
    </row>
    <row r="204" spans="1:10" ht="15" thickBot="1" x14ac:dyDescent="0.45">
      <c r="A204" s="22" t="s">
        <v>4</v>
      </c>
      <c r="B204" s="30">
        <v>6.2119999999999997</v>
      </c>
      <c r="C204" s="31">
        <v>147</v>
      </c>
      <c r="D204" s="31"/>
      <c r="E204" s="32"/>
      <c r="F204" s="32"/>
      <c r="G204" s="36">
        <f>C204/(C202+C203+C204)</f>
        <v>1.8560137370268428E-2</v>
      </c>
      <c r="H204" s="22"/>
      <c r="I204" s="22"/>
    </row>
    <row r="205" spans="1:10" x14ac:dyDescent="0.4">
      <c r="A205" s="3" t="s">
        <v>13</v>
      </c>
      <c r="B205" s="3"/>
      <c r="C205" s="3"/>
      <c r="D205" s="3"/>
      <c r="E205" s="3"/>
      <c r="F205" s="3"/>
      <c r="G205" s="3"/>
      <c r="H205" s="3"/>
      <c r="I205" s="3"/>
      <c r="J205" s="3"/>
    </row>
    <row r="206" spans="1:10" ht="15" thickBot="1" x14ac:dyDescent="0.45">
      <c r="A206" s="1" t="s">
        <v>144</v>
      </c>
      <c r="B206" s="1">
        <v>0</v>
      </c>
      <c r="C206" s="1" t="s">
        <v>139</v>
      </c>
      <c r="D206" s="1"/>
      <c r="E206" s="1"/>
      <c r="F206" s="1"/>
      <c r="G206" s="1"/>
      <c r="H206" s="1"/>
      <c r="I206" s="1"/>
    </row>
    <row r="207" spans="1:10" x14ac:dyDescent="0.4">
      <c r="A207" s="22" t="s">
        <v>0</v>
      </c>
      <c r="B207" s="23" t="s">
        <v>2</v>
      </c>
      <c r="C207" s="24" t="s">
        <v>1</v>
      </c>
      <c r="D207" s="24" t="s">
        <v>11</v>
      </c>
      <c r="E207" s="7" t="s">
        <v>7</v>
      </c>
      <c r="F207" s="52" t="s">
        <v>47</v>
      </c>
      <c r="G207" s="22" t="s">
        <v>12</v>
      </c>
      <c r="H207" t="s">
        <v>8</v>
      </c>
      <c r="I207" t="s">
        <v>7</v>
      </c>
      <c r="J207" s="22"/>
    </row>
    <row r="208" spans="1:10" x14ac:dyDescent="0.4">
      <c r="A208" s="22" t="s">
        <v>3</v>
      </c>
      <c r="B208" s="26">
        <v>3.1</v>
      </c>
      <c r="C208" s="22">
        <v>7136.5</v>
      </c>
      <c r="D208" s="48">
        <f>C208/C210</f>
        <v>52.435709037472449</v>
      </c>
      <c r="E208" s="29">
        <f>(D209+0.0045)/0.0056</f>
        <v>15.236236485777265</v>
      </c>
      <c r="F208" s="42">
        <f>(E208*120.15)/1000</f>
        <v>1.8306338137661384</v>
      </c>
      <c r="G208" s="35">
        <f>(C209/(C208+C209))</f>
        <v>1.5389996502273523E-3</v>
      </c>
      <c r="H208" s="50">
        <f>((G208*1000)/1.1)</f>
        <v>1.3990905911157747</v>
      </c>
      <c r="I208" s="50">
        <f>(H208/120.15)*1000</f>
        <v>11.644532593556177</v>
      </c>
      <c r="J208" s="22"/>
    </row>
    <row r="209" spans="1:10" x14ac:dyDescent="0.4">
      <c r="A209" s="22" t="s">
        <v>5</v>
      </c>
      <c r="B209" s="26">
        <v>4.83</v>
      </c>
      <c r="C209" s="22">
        <v>11</v>
      </c>
      <c r="D209" s="49">
        <f>C209/C210</f>
        <v>8.0822924320352679E-2</v>
      </c>
      <c r="E209" s="22"/>
      <c r="F209" s="42"/>
      <c r="G209" s="48"/>
      <c r="H209" s="22"/>
      <c r="I209" s="22"/>
      <c r="J209" s="22"/>
    </row>
    <row r="210" spans="1:10" ht="15" thickBot="1" x14ac:dyDescent="0.45">
      <c r="A210" s="22" t="s">
        <v>4</v>
      </c>
      <c r="B210" s="30">
        <v>6.2119999999999997</v>
      </c>
      <c r="C210" s="31">
        <v>136.1</v>
      </c>
      <c r="D210" s="31"/>
      <c r="E210" s="40"/>
      <c r="F210" s="43"/>
      <c r="G210" s="36">
        <f>C210/(C208+C209+C210)</f>
        <v>1.8685814707013013E-2</v>
      </c>
      <c r="H210" s="22"/>
      <c r="I210" s="22"/>
      <c r="J210" s="22"/>
    </row>
    <row r="211" spans="1:10" ht="15" thickBot="1" x14ac:dyDescent="0.45">
      <c r="A211" s="1" t="s">
        <v>144</v>
      </c>
      <c r="B211" s="33">
        <v>0</v>
      </c>
      <c r="C211" s="33" t="s">
        <v>139</v>
      </c>
      <c r="D211" s="33"/>
      <c r="E211" s="33"/>
      <c r="F211" s="33"/>
      <c r="G211" s="1"/>
      <c r="H211" s="1"/>
      <c r="I211" s="1"/>
      <c r="J211" s="22"/>
    </row>
    <row r="212" spans="1:10" x14ac:dyDescent="0.4">
      <c r="A212" s="22" t="s">
        <v>0</v>
      </c>
      <c r="B212" s="23" t="s">
        <v>2</v>
      </c>
      <c r="C212" s="24" t="s">
        <v>1</v>
      </c>
      <c r="D212" s="24" t="s">
        <v>11</v>
      </c>
      <c r="E212" s="8" t="s">
        <v>7</v>
      </c>
      <c r="F212" s="51" t="s">
        <v>47</v>
      </c>
      <c r="G212" s="22" t="s">
        <v>12</v>
      </c>
      <c r="H212" t="s">
        <v>8</v>
      </c>
      <c r="I212" t="s">
        <v>7</v>
      </c>
      <c r="J212" s="22"/>
    </row>
    <row r="213" spans="1:10" x14ac:dyDescent="0.4">
      <c r="A213" s="22" t="s">
        <v>3</v>
      </c>
      <c r="B213" s="26">
        <v>3.14</v>
      </c>
      <c r="C213" s="22">
        <v>6961.8</v>
      </c>
      <c r="D213" s="48">
        <f>C213/C215</f>
        <v>52.0703066566941</v>
      </c>
      <c r="E213" s="29">
        <f>(D214+0.0045)/0.0056</f>
        <v>14.961066887487981</v>
      </c>
      <c r="F213" s="29">
        <f>(E213*120.15)/1000</f>
        <v>1.7975721865316809</v>
      </c>
      <c r="G213" s="35">
        <f>(C214/(C213+C214))</f>
        <v>1.5202799609890423E-3</v>
      </c>
      <c r="H213" s="50">
        <f>((G213*1000)/1.1)</f>
        <v>1.3820726918082202</v>
      </c>
      <c r="I213" s="50">
        <f>(H213/120.15)*1000</f>
        <v>11.502893814467084</v>
      </c>
      <c r="J213" s="22"/>
    </row>
    <row r="214" spans="1:10" x14ac:dyDescent="0.4">
      <c r="A214" s="22" t="s">
        <v>5</v>
      </c>
      <c r="B214" s="26">
        <v>4.83</v>
      </c>
      <c r="C214" s="22">
        <v>10.6</v>
      </c>
      <c r="D214" s="49">
        <f>C214/C215</f>
        <v>7.9281974569932689E-2</v>
      </c>
      <c r="E214" s="29"/>
      <c r="F214" s="29"/>
      <c r="G214" s="48"/>
      <c r="H214" s="22"/>
      <c r="I214" s="22"/>
      <c r="J214" s="22"/>
    </row>
    <row r="215" spans="1:10" ht="15" thickBot="1" x14ac:dyDescent="0.45">
      <c r="A215" s="22" t="s">
        <v>4</v>
      </c>
      <c r="B215" s="30">
        <v>6.2119999999999997</v>
      </c>
      <c r="C215" s="31">
        <v>133.69999999999999</v>
      </c>
      <c r="D215" s="31"/>
      <c r="E215" s="32"/>
      <c r="F215" s="32"/>
      <c r="G215" s="36">
        <f>C215/(C213+C214+C215)</f>
        <v>1.8814821069222214E-2</v>
      </c>
      <c r="H215" s="22"/>
      <c r="I215" s="22"/>
      <c r="J215" s="22"/>
    </row>
    <row r="216" spans="1:10" ht="15" thickBot="1" x14ac:dyDescent="0.45">
      <c r="A216" s="1" t="s">
        <v>144</v>
      </c>
      <c r="B216" s="1">
        <v>2</v>
      </c>
      <c r="C216" s="1" t="s">
        <v>139</v>
      </c>
      <c r="D216" s="1"/>
      <c r="E216" s="1"/>
      <c r="F216" s="1"/>
      <c r="G216" s="1"/>
      <c r="H216" s="1"/>
      <c r="I216" s="1"/>
    </row>
    <row r="217" spans="1:10" x14ac:dyDescent="0.4">
      <c r="A217" t="s">
        <v>0</v>
      </c>
      <c r="B217" s="23" t="s">
        <v>2</v>
      </c>
      <c r="C217" s="24" t="s">
        <v>1</v>
      </c>
      <c r="D217" s="24" t="s">
        <v>11</v>
      </c>
      <c r="E217" s="8" t="s">
        <v>7</v>
      </c>
      <c r="F217" s="51" t="s">
        <v>47</v>
      </c>
      <c r="G217" s="22" t="s">
        <v>12</v>
      </c>
      <c r="H217" t="s">
        <v>8</v>
      </c>
      <c r="I217" t="s">
        <v>7</v>
      </c>
    </row>
    <row r="218" spans="1:10" x14ac:dyDescent="0.4">
      <c r="A218" t="s">
        <v>3</v>
      </c>
      <c r="B218" s="13">
        <v>3.1</v>
      </c>
      <c r="C218" s="22">
        <v>7361</v>
      </c>
      <c r="D218" s="2">
        <f>C218/C220</f>
        <v>52.021201413427562</v>
      </c>
      <c r="E218" s="29">
        <f>(D219+0.0045)/0.0056</f>
        <v>18.345217062089855</v>
      </c>
      <c r="F218" s="29">
        <f>(E218*120.15)/1000</f>
        <v>2.2041778300100963</v>
      </c>
      <c r="G218" s="35">
        <f>(C219/(C218+C219))</f>
        <v>1.8847713189331383E-3</v>
      </c>
      <c r="H218" s="50">
        <f>((G218*1000)/1.1)</f>
        <v>1.7134284717573984</v>
      </c>
      <c r="I218" s="50">
        <f>(H218/120.15)*1000</f>
        <v>14.260744667144388</v>
      </c>
    </row>
    <row r="219" spans="1:10" x14ac:dyDescent="0.4">
      <c r="A219" t="s">
        <v>5</v>
      </c>
      <c r="B219" s="13">
        <v>4.83</v>
      </c>
      <c r="C219" s="22">
        <v>13.9</v>
      </c>
      <c r="D219" s="50">
        <f>C219/C220</f>
        <v>9.8233215547703187E-2</v>
      </c>
      <c r="E219" s="9"/>
      <c r="F219" s="29"/>
      <c r="G219" s="48"/>
      <c r="H219" s="22"/>
      <c r="I219" s="22"/>
    </row>
    <row r="220" spans="1:10" ht="15" thickBot="1" x14ac:dyDescent="0.45">
      <c r="A220" t="s">
        <v>4</v>
      </c>
      <c r="B220" s="14">
        <v>6.2119999999999997</v>
      </c>
      <c r="C220" s="11">
        <v>141.5</v>
      </c>
      <c r="D220" s="11"/>
      <c r="E220" s="16"/>
      <c r="F220" s="32"/>
      <c r="G220" s="36">
        <f>C220/(C218+C219+C220)</f>
        <v>1.8825501569900486E-2</v>
      </c>
      <c r="H220" s="22"/>
      <c r="I220" s="22"/>
    </row>
    <row r="221" spans="1:10" ht="15" thickBot="1" x14ac:dyDescent="0.45">
      <c r="A221" s="1" t="s">
        <v>144</v>
      </c>
      <c r="B221" s="1">
        <v>2</v>
      </c>
      <c r="C221" s="1" t="s">
        <v>139</v>
      </c>
      <c r="D221" s="1"/>
      <c r="E221" s="1"/>
      <c r="F221" s="1"/>
      <c r="G221" s="1"/>
      <c r="H221" s="1"/>
      <c r="I221" s="1"/>
    </row>
    <row r="222" spans="1:10" x14ac:dyDescent="0.4">
      <c r="A222" t="s">
        <v>0</v>
      </c>
      <c r="B222" s="23" t="s">
        <v>2</v>
      </c>
      <c r="C222" s="24" t="s">
        <v>1</v>
      </c>
      <c r="D222" s="24" t="s">
        <v>11</v>
      </c>
      <c r="E222" s="8" t="s">
        <v>7</v>
      </c>
      <c r="F222" s="51" t="s">
        <v>47</v>
      </c>
      <c r="G222" s="22" t="s">
        <v>12</v>
      </c>
      <c r="H222" t="s">
        <v>8</v>
      </c>
      <c r="I222" t="s">
        <v>7</v>
      </c>
    </row>
    <row r="223" spans="1:10" x14ac:dyDescent="0.4">
      <c r="A223" t="s">
        <v>3</v>
      </c>
      <c r="B223" s="13">
        <v>3.1</v>
      </c>
      <c r="C223" s="22">
        <v>7105.9</v>
      </c>
      <c r="D223" s="2">
        <f>C223/C225</f>
        <v>52.326215022091304</v>
      </c>
      <c r="E223" s="29">
        <f>(D224+0.0045)/0.0056</f>
        <v>18.292525773195877</v>
      </c>
      <c r="F223" s="29">
        <f>(E223*120.15)/1000</f>
        <v>2.1978469716494846</v>
      </c>
      <c r="G223" s="35">
        <f>(C224/(C223+C224))</f>
        <v>1.8681874367906508E-3</v>
      </c>
      <c r="H223" s="50">
        <f>((G223*1000)/1.1)</f>
        <v>1.6983522152642279</v>
      </c>
      <c r="I223" s="50">
        <f>(H223/120.15)*1000</f>
        <v>14.135266044646091</v>
      </c>
    </row>
    <row r="224" spans="1:10" x14ac:dyDescent="0.4">
      <c r="A224" t="s">
        <v>5</v>
      </c>
      <c r="B224" s="13">
        <v>4.83</v>
      </c>
      <c r="C224" s="22">
        <v>13.3</v>
      </c>
      <c r="D224" s="50">
        <f>C224/C225</f>
        <v>9.7938144329896906E-2</v>
      </c>
      <c r="E224" s="9"/>
      <c r="F224" s="29"/>
      <c r="G224" s="48"/>
      <c r="H224" s="22"/>
      <c r="I224" s="22"/>
    </row>
    <row r="225" spans="1:10" ht="15" thickBot="1" x14ac:dyDescent="0.45">
      <c r="A225" t="s">
        <v>4</v>
      </c>
      <c r="B225" s="14">
        <v>6.2119999999999997</v>
      </c>
      <c r="C225" s="11">
        <v>135.80000000000001</v>
      </c>
      <c r="D225" s="11"/>
      <c r="E225" s="16"/>
      <c r="F225" s="32"/>
      <c r="G225" s="36">
        <f>C225/(C223+C224+C225)</f>
        <v>1.8718125430737424E-2</v>
      </c>
      <c r="H225" s="22"/>
      <c r="I225" s="22"/>
    </row>
    <row r="226" spans="1:10" ht="15" thickBot="1" x14ac:dyDescent="0.45">
      <c r="A226" s="1" t="s">
        <v>144</v>
      </c>
      <c r="B226" s="1">
        <v>10</v>
      </c>
      <c r="C226" s="1" t="s">
        <v>139</v>
      </c>
      <c r="D226" s="1"/>
      <c r="E226" s="1"/>
      <c r="F226" s="1"/>
      <c r="G226" s="1"/>
      <c r="H226" s="1"/>
      <c r="I226" s="1"/>
    </row>
    <row r="227" spans="1:10" x14ac:dyDescent="0.4">
      <c r="A227" s="22" t="s">
        <v>0</v>
      </c>
      <c r="B227" s="23" t="s">
        <v>2</v>
      </c>
      <c r="C227" s="24" t="s">
        <v>1</v>
      </c>
      <c r="D227" s="24" t="s">
        <v>11</v>
      </c>
      <c r="E227" s="8" t="s">
        <v>7</v>
      </c>
      <c r="F227" s="51" t="s">
        <v>47</v>
      </c>
      <c r="G227" s="22" t="s">
        <v>12</v>
      </c>
      <c r="H227" t="s">
        <v>8</v>
      </c>
      <c r="I227" t="s">
        <v>7</v>
      </c>
      <c r="J227" s="22"/>
    </row>
    <row r="228" spans="1:10" x14ac:dyDescent="0.4">
      <c r="A228" s="22" t="s">
        <v>3</v>
      </c>
      <c r="B228" s="26">
        <v>3.1</v>
      </c>
      <c r="C228" s="22">
        <v>6730.7</v>
      </c>
      <c r="D228" s="48">
        <f>C228/C230</f>
        <v>52.256987577639748</v>
      </c>
      <c r="E228" s="29">
        <f>(D229+0.0045)/0.0056</f>
        <v>26.591060337178348</v>
      </c>
      <c r="F228" s="29">
        <f>(E228*120.15)/1000</f>
        <v>3.1949158995119786</v>
      </c>
      <c r="G228" s="35">
        <f>(C229/(C228+C229))</f>
        <v>2.7558413465100084E-3</v>
      </c>
      <c r="H228" s="50">
        <f>((G228*1000)/1.1)</f>
        <v>2.5053103150090985</v>
      </c>
      <c r="I228" s="50">
        <f>(H228/120.15)*1000</f>
        <v>20.851521556463574</v>
      </c>
      <c r="J228" s="22"/>
    </row>
    <row r="229" spans="1:10" x14ac:dyDescent="0.4">
      <c r="A229" s="22" t="s">
        <v>5</v>
      </c>
      <c r="B229" s="26">
        <v>4.83</v>
      </c>
      <c r="C229" s="22">
        <v>18.600000000000001</v>
      </c>
      <c r="D229" s="49">
        <f>C229/C230</f>
        <v>0.14440993788819875</v>
      </c>
      <c r="E229" s="29"/>
      <c r="F229" s="29"/>
      <c r="G229" s="48"/>
      <c r="H229" s="22"/>
      <c r="I229" s="22"/>
      <c r="J229" s="22"/>
    </row>
    <row r="230" spans="1:10" ht="15" thickBot="1" x14ac:dyDescent="0.45">
      <c r="A230" s="22" t="s">
        <v>4</v>
      </c>
      <c r="B230" s="30">
        <v>6.2119999999999997</v>
      </c>
      <c r="C230" s="31">
        <v>128.80000000000001</v>
      </c>
      <c r="D230" s="31"/>
      <c r="E230" s="32"/>
      <c r="F230" s="32"/>
      <c r="G230" s="36">
        <f>C230/(C228+C229+C230)</f>
        <v>1.8726101685058373E-2</v>
      </c>
      <c r="H230" s="22"/>
      <c r="I230" s="22"/>
      <c r="J230" s="22"/>
    </row>
    <row r="231" spans="1:10" ht="15" thickBot="1" x14ac:dyDescent="0.45">
      <c r="A231" s="1" t="s">
        <v>144</v>
      </c>
      <c r="B231" s="1">
        <v>10</v>
      </c>
      <c r="C231" s="1" t="s">
        <v>139</v>
      </c>
      <c r="D231" s="1"/>
      <c r="E231" s="1"/>
      <c r="F231" s="1"/>
      <c r="G231" s="1"/>
      <c r="H231" s="1"/>
      <c r="I231" s="1"/>
    </row>
    <row r="232" spans="1:10" x14ac:dyDescent="0.4">
      <c r="A232" s="22" t="s">
        <v>0</v>
      </c>
      <c r="B232" s="23" t="s">
        <v>2</v>
      </c>
      <c r="C232" s="24" t="s">
        <v>1</v>
      </c>
      <c r="D232" s="24" t="s">
        <v>11</v>
      </c>
      <c r="E232" s="8" t="s">
        <v>7</v>
      </c>
      <c r="F232" s="51" t="s">
        <v>47</v>
      </c>
      <c r="G232" s="22" t="s">
        <v>12</v>
      </c>
      <c r="H232" t="s">
        <v>8</v>
      </c>
      <c r="I232" t="s">
        <v>7</v>
      </c>
      <c r="J232" s="22"/>
    </row>
    <row r="233" spans="1:10" x14ac:dyDescent="0.4">
      <c r="A233" s="22" t="s">
        <v>3</v>
      </c>
      <c r="B233" s="26">
        <v>3.14</v>
      </c>
      <c r="C233" s="22">
        <v>7081.6</v>
      </c>
      <c r="D233" s="48">
        <f>C233/C235</f>
        <v>52.339985218033995</v>
      </c>
      <c r="E233" s="29">
        <f>(D234+0.0045)/0.0056</f>
        <v>26.012102734663713</v>
      </c>
      <c r="F233" s="29">
        <f>(E233*120.15)/1000</f>
        <v>3.1253541435698451</v>
      </c>
      <c r="G233" s="35">
        <f>(C234/(C233+C234))</f>
        <v>2.6898756460630641E-3</v>
      </c>
      <c r="H233" s="50">
        <f>((G233*1000)/1.1)</f>
        <v>2.4453414964209674</v>
      </c>
      <c r="I233" s="50">
        <f>(H233/120.15)*1000</f>
        <v>20.352405296886953</v>
      </c>
      <c r="J233" s="22"/>
    </row>
    <row r="234" spans="1:10" x14ac:dyDescent="0.4">
      <c r="A234" s="22" t="s">
        <v>5</v>
      </c>
      <c r="B234" s="26">
        <v>4.83</v>
      </c>
      <c r="C234" s="22">
        <v>19.100000000000001</v>
      </c>
      <c r="D234" s="49">
        <f>C234/C235</f>
        <v>0.14116777531411678</v>
      </c>
      <c r="E234" s="29"/>
      <c r="F234" s="29"/>
      <c r="G234" s="48"/>
      <c r="H234" s="22"/>
      <c r="I234" s="22"/>
      <c r="J234" s="22"/>
    </row>
    <row r="235" spans="1:10" ht="15" thickBot="1" x14ac:dyDescent="0.45">
      <c r="A235" s="22" t="s">
        <v>4</v>
      </c>
      <c r="B235" s="30">
        <v>6.2119999999999997</v>
      </c>
      <c r="C235" s="31">
        <v>135.30000000000001</v>
      </c>
      <c r="D235" s="31"/>
      <c r="E235" s="32"/>
      <c r="F235" s="32"/>
      <c r="G235" s="36">
        <f>C235/(C233+C234+C235)</f>
        <v>1.8698175787728026E-2</v>
      </c>
      <c r="H235" s="22"/>
      <c r="I235" s="22"/>
      <c r="J235" s="22"/>
    </row>
    <row r="236" spans="1:10" ht="15" thickBot="1" x14ac:dyDescent="0.45">
      <c r="A236" s="1" t="s">
        <v>144</v>
      </c>
      <c r="B236" s="1">
        <v>20</v>
      </c>
      <c r="C236" s="1" t="s">
        <v>139</v>
      </c>
      <c r="D236" s="1"/>
      <c r="E236" s="1"/>
      <c r="F236" s="1"/>
      <c r="G236" s="1"/>
      <c r="H236" s="1"/>
      <c r="I236" s="1"/>
    </row>
    <row r="237" spans="1:10" x14ac:dyDescent="0.4">
      <c r="A237" s="22" t="s">
        <v>0</v>
      </c>
      <c r="B237" s="23" t="s">
        <v>2</v>
      </c>
      <c r="C237" s="24" t="s">
        <v>1</v>
      </c>
      <c r="D237" s="24" t="s">
        <v>11</v>
      </c>
      <c r="E237" s="8" t="s">
        <v>7</v>
      </c>
      <c r="F237" s="51" t="s">
        <v>47</v>
      </c>
      <c r="G237" s="22" t="s">
        <v>12</v>
      </c>
      <c r="H237" t="s">
        <v>8</v>
      </c>
      <c r="I237" t="s">
        <v>7</v>
      </c>
    </row>
    <row r="238" spans="1:10" x14ac:dyDescent="0.4">
      <c r="A238" s="22" t="s">
        <v>3</v>
      </c>
      <c r="B238" s="26">
        <v>3.1</v>
      </c>
      <c r="C238" s="22">
        <v>8624.2999999999993</v>
      </c>
      <c r="D238" s="48">
        <f>C238/C240</f>
        <v>52.523142509135198</v>
      </c>
      <c r="E238" s="29">
        <f>(D239+0.0045)/0.0056</f>
        <v>39.084413607099364</v>
      </c>
      <c r="F238" s="29">
        <f>(E238*120.15)/1000</f>
        <v>4.6959922948929886</v>
      </c>
      <c r="G238" s="35">
        <f>(C239/(C238+C239))</f>
        <v>4.0648998210058322E-3</v>
      </c>
      <c r="H238" s="50">
        <f>((G238*1000)/1.1)</f>
        <v>3.695363473641665</v>
      </c>
      <c r="I238" s="50">
        <f>(H238/120.15)*1000</f>
        <v>30.756250300804531</v>
      </c>
    </row>
    <row r="239" spans="1:10" x14ac:dyDescent="0.4">
      <c r="A239" s="22" t="s">
        <v>5</v>
      </c>
      <c r="B239" s="26">
        <v>4.83</v>
      </c>
      <c r="C239" s="22">
        <v>35.200000000000003</v>
      </c>
      <c r="D239" s="49">
        <f>C239/C240</f>
        <v>0.21437271619975642</v>
      </c>
      <c r="E239" s="29"/>
      <c r="F239" s="29"/>
      <c r="G239" s="48"/>
      <c r="H239" s="22"/>
      <c r="I239" s="22"/>
    </row>
    <row r="240" spans="1:10" ht="15" thickBot="1" x14ac:dyDescent="0.45">
      <c r="A240" s="22" t="s">
        <v>4</v>
      </c>
      <c r="B240" s="30">
        <v>6.2119999999999997</v>
      </c>
      <c r="C240" s="31">
        <v>164.2</v>
      </c>
      <c r="D240" s="31"/>
      <c r="E240" s="32"/>
      <c r="F240" s="32"/>
      <c r="G240" s="36">
        <f>C240/(C238+C239+C240)</f>
        <v>1.8608973559844508E-2</v>
      </c>
      <c r="H240" s="22"/>
      <c r="I240" s="22"/>
    </row>
    <row r="241" spans="1:9" ht="15" thickBot="1" x14ac:dyDescent="0.45">
      <c r="A241" s="1" t="s">
        <v>144</v>
      </c>
      <c r="B241" s="1">
        <v>20</v>
      </c>
      <c r="C241" s="1" t="s">
        <v>139</v>
      </c>
      <c r="D241" s="1"/>
      <c r="E241" s="1"/>
      <c r="F241" s="1"/>
      <c r="G241" s="1"/>
      <c r="H241" s="1"/>
      <c r="I241" s="1"/>
    </row>
    <row r="242" spans="1:9" x14ac:dyDescent="0.4">
      <c r="A242" s="22" t="s">
        <v>0</v>
      </c>
      <c r="B242" s="23" t="s">
        <v>2</v>
      </c>
      <c r="C242" s="24" t="s">
        <v>1</v>
      </c>
      <c r="D242" s="24" t="s">
        <v>11</v>
      </c>
      <c r="E242" s="8" t="s">
        <v>7</v>
      </c>
      <c r="F242" s="51" t="s">
        <v>47</v>
      </c>
      <c r="G242" s="22" t="s">
        <v>12</v>
      </c>
      <c r="H242" t="s">
        <v>8</v>
      </c>
      <c r="I242" t="s">
        <v>7</v>
      </c>
    </row>
    <row r="243" spans="1:9" x14ac:dyDescent="0.4">
      <c r="A243" s="22" t="s">
        <v>3</v>
      </c>
      <c r="B243" s="26">
        <v>3.14</v>
      </c>
      <c r="C243" s="22">
        <v>7512.7</v>
      </c>
      <c r="D243" s="48">
        <f>C243/C245</f>
        <v>52.573128061581521</v>
      </c>
      <c r="E243" s="29">
        <f>(D244+0.0045)/0.0056</f>
        <v>38.667212336299109</v>
      </c>
      <c r="F243" s="29">
        <f>(E243*120.15)/1000</f>
        <v>4.6458655622063381</v>
      </c>
      <c r="G243" s="35">
        <f>(C244/(C243+C244))</f>
        <v>4.0169693755800076E-3</v>
      </c>
      <c r="H243" s="50">
        <f>((G243*1000)/1.1)</f>
        <v>3.6517903414363704</v>
      </c>
      <c r="I243" s="50">
        <f>(H243/120.15)*1000</f>
        <v>30.393594185904039</v>
      </c>
    </row>
    <row r="244" spans="1:9" x14ac:dyDescent="0.4">
      <c r="A244" s="22" t="s">
        <v>5</v>
      </c>
      <c r="B244" s="26">
        <v>4.83</v>
      </c>
      <c r="C244" s="22">
        <v>30.3</v>
      </c>
      <c r="D244" s="49">
        <f>C244/C245</f>
        <v>0.21203638908327502</v>
      </c>
      <c r="E244" s="29"/>
      <c r="F244" s="29"/>
      <c r="G244" s="48"/>
      <c r="H244" s="22"/>
      <c r="I244" s="22"/>
    </row>
    <row r="245" spans="1:9" ht="15" thickBot="1" x14ac:dyDescent="0.45">
      <c r="A245" s="22" t="s">
        <v>4</v>
      </c>
      <c r="B245" s="30">
        <v>6.2119999999999997</v>
      </c>
      <c r="C245" s="31">
        <v>142.9</v>
      </c>
      <c r="D245" s="31"/>
      <c r="E245" s="32"/>
      <c r="F245" s="32"/>
      <c r="G245" s="36">
        <f>C245/(C243+C244+C245)</f>
        <v>1.8592487542122591E-2</v>
      </c>
      <c r="H245" s="22"/>
      <c r="I245" s="22"/>
    </row>
    <row r="246" spans="1:9" ht="15" thickBot="1" x14ac:dyDescent="0.45">
      <c r="A246" s="1" t="s">
        <v>144</v>
      </c>
      <c r="B246" s="1">
        <v>50</v>
      </c>
      <c r="C246" s="1" t="s">
        <v>139</v>
      </c>
      <c r="D246" s="1"/>
      <c r="E246" s="1"/>
      <c r="F246" s="1"/>
      <c r="G246" s="1"/>
      <c r="H246" s="1"/>
      <c r="I246" s="1"/>
    </row>
    <row r="247" spans="1:9" x14ac:dyDescent="0.4">
      <c r="A247" s="22" t="s">
        <v>0</v>
      </c>
      <c r="B247" s="23" t="s">
        <v>2</v>
      </c>
      <c r="C247" s="24" t="s">
        <v>1</v>
      </c>
      <c r="D247" s="24" t="s">
        <v>11</v>
      </c>
      <c r="E247" s="8" t="s">
        <v>7</v>
      </c>
      <c r="F247" s="51" t="s">
        <v>47</v>
      </c>
      <c r="G247" s="22" t="s">
        <v>12</v>
      </c>
      <c r="H247" t="s">
        <v>8</v>
      </c>
      <c r="I247" t="s">
        <v>7</v>
      </c>
    </row>
    <row r="248" spans="1:9" x14ac:dyDescent="0.4">
      <c r="A248" s="22" t="s">
        <v>3</v>
      </c>
      <c r="B248" s="26">
        <v>3.1</v>
      </c>
      <c r="C248" s="22">
        <v>7185.2</v>
      </c>
      <c r="D248" s="48">
        <f>C248/C250</f>
        <v>52.332119446467587</v>
      </c>
      <c r="E248" s="29">
        <f>(D249+0.0045)/0.0056</f>
        <v>73.506724066174172</v>
      </c>
      <c r="F248" s="29">
        <f>(E248*120.15)/1000</f>
        <v>8.8318328965508286</v>
      </c>
      <c r="G248" s="35">
        <f>(C249/(C248+C249))</f>
        <v>7.7198215740702384E-3</v>
      </c>
      <c r="H248" s="50">
        <f>((G248*1000)/1.1)</f>
        <v>7.0180196127911252</v>
      </c>
      <c r="I248" s="50">
        <f>(H248/120.15)*1000</f>
        <v>58.410483668673535</v>
      </c>
    </row>
    <row r="249" spans="1:9" x14ac:dyDescent="0.4">
      <c r="A249" s="22" t="s">
        <v>5</v>
      </c>
      <c r="B249" s="26">
        <v>4.83</v>
      </c>
      <c r="C249" s="22">
        <v>55.9</v>
      </c>
      <c r="D249" s="49">
        <f>C249/C250</f>
        <v>0.40713765477057534</v>
      </c>
      <c r="E249" s="29"/>
      <c r="F249" s="29"/>
      <c r="G249" s="48"/>
      <c r="H249" s="22"/>
      <c r="I249" s="22"/>
    </row>
    <row r="250" spans="1:9" ht="15" thickBot="1" x14ac:dyDescent="0.45">
      <c r="A250" s="22" t="s">
        <v>4</v>
      </c>
      <c r="B250" s="30">
        <v>6.2119999999999997</v>
      </c>
      <c r="C250" s="31">
        <v>137.30000000000001</v>
      </c>
      <c r="D250" s="31"/>
      <c r="E250" s="32"/>
      <c r="F250" s="32"/>
      <c r="G250" s="36">
        <f>C250/(C248+C249+C250)</f>
        <v>1.8608370378401823E-2</v>
      </c>
      <c r="H250" s="22"/>
      <c r="I250" s="22"/>
    </row>
    <row r="251" spans="1:9" ht="15" thickBot="1" x14ac:dyDescent="0.45">
      <c r="A251" s="1" t="s">
        <v>144</v>
      </c>
      <c r="B251" s="1">
        <v>50</v>
      </c>
      <c r="C251" s="1" t="s">
        <v>139</v>
      </c>
      <c r="D251" s="1"/>
      <c r="E251" s="1"/>
      <c r="F251" s="1"/>
      <c r="G251" s="1"/>
      <c r="H251" s="1"/>
      <c r="I251" s="1"/>
    </row>
    <row r="252" spans="1:9" x14ac:dyDescent="0.4">
      <c r="A252" s="22" t="s">
        <v>0</v>
      </c>
      <c r="B252" s="23" t="s">
        <v>2</v>
      </c>
      <c r="C252" s="24" t="s">
        <v>1</v>
      </c>
      <c r="D252" s="24" t="s">
        <v>11</v>
      </c>
      <c r="E252" s="8" t="s">
        <v>7</v>
      </c>
      <c r="F252" s="51" t="s">
        <v>47</v>
      </c>
      <c r="G252" s="22" t="s">
        <v>12</v>
      </c>
      <c r="H252" t="s">
        <v>8</v>
      </c>
      <c r="I252" t="s">
        <v>7</v>
      </c>
    </row>
    <row r="253" spans="1:9" x14ac:dyDescent="0.4">
      <c r="A253" s="22" t="s">
        <v>3</v>
      </c>
      <c r="B253" s="26">
        <v>3.14</v>
      </c>
      <c r="C253" s="22">
        <v>8230.2999999999993</v>
      </c>
      <c r="D253" s="48">
        <f>C253/C255</f>
        <v>52.455704270235813</v>
      </c>
      <c r="E253" s="29">
        <f>(D254+0.0045)/0.0056</f>
        <v>70.911920695620509</v>
      </c>
      <c r="F253" s="29">
        <f>(E253*120.15)/1000</f>
        <v>8.5200672715788048</v>
      </c>
      <c r="G253" s="35">
        <f>(C254/(C253+C254))</f>
        <v>7.4289366731388464E-3</v>
      </c>
      <c r="H253" s="50">
        <f>((G253*1000)/1.1)</f>
        <v>6.7535787937625873</v>
      </c>
      <c r="I253" s="50">
        <f>(H253/120.15)*1000</f>
        <v>56.209561329692775</v>
      </c>
    </row>
    <row r="254" spans="1:9" x14ac:dyDescent="0.4">
      <c r="A254" s="22" t="s">
        <v>5</v>
      </c>
      <c r="B254" s="26">
        <v>4.83</v>
      </c>
      <c r="C254" s="22">
        <v>61.6</v>
      </c>
      <c r="D254" s="49">
        <f>C254/C255</f>
        <v>0.39260675589547483</v>
      </c>
      <c r="E254" s="29"/>
      <c r="F254" s="29"/>
      <c r="G254" s="48"/>
      <c r="H254" s="22"/>
      <c r="I254" s="22"/>
    </row>
    <row r="255" spans="1:9" ht="15" thickBot="1" x14ac:dyDescent="0.45">
      <c r="A255" s="22" t="s">
        <v>4</v>
      </c>
      <c r="B255" s="30">
        <v>6.2119999999999997</v>
      </c>
      <c r="C255" s="31">
        <v>156.9</v>
      </c>
      <c r="D255" s="31"/>
      <c r="E255" s="32"/>
      <c r="F255" s="32"/>
      <c r="G255" s="36">
        <f>C255/(C253+C254+C255)</f>
        <v>1.8570684594261911E-2</v>
      </c>
      <c r="H255" s="22"/>
      <c r="I255" s="22"/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04112020</vt:lpstr>
      <vt:lpstr>06112020</vt:lpstr>
      <vt:lpstr>long term TTN</vt:lpstr>
      <vt:lpstr>feed rates tBuOOH </vt:lpstr>
      <vt:lpstr>inhibition styreneoxide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Friederike Nintzel</dc:creator>
  <cp:lastModifiedBy>Friederike Nintzel</cp:lastModifiedBy>
  <dcterms:created xsi:type="dcterms:W3CDTF">2020-10-14T07:52:17Z</dcterms:created>
  <dcterms:modified xsi:type="dcterms:W3CDTF">2021-03-25T01:23:54Z</dcterms:modified>
</cp:coreProperties>
</file>