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A316EFD1-16A0-4870-8B36-92027ACEF9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mmary of 3 reaction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4" l="1"/>
  <c r="H51" i="4" s="1"/>
  <c r="P51" i="4"/>
  <c r="H62" i="4" l="1"/>
  <c r="H67" i="4"/>
  <c r="H77" i="4"/>
  <c r="H108" i="4"/>
  <c r="H5" i="4"/>
  <c r="H9" i="4"/>
  <c r="H23" i="4"/>
  <c r="H27" i="4"/>
  <c r="H3" i="4"/>
  <c r="H135" i="4"/>
  <c r="H136" i="4"/>
  <c r="H137" i="4"/>
  <c r="H138" i="4"/>
  <c r="H139" i="4"/>
  <c r="H140" i="4"/>
  <c r="H141" i="4"/>
  <c r="H142" i="4"/>
  <c r="H143" i="4"/>
  <c r="H144" i="4"/>
  <c r="H145" i="4"/>
  <c r="H148" i="4"/>
  <c r="H149" i="4"/>
  <c r="H150" i="4"/>
  <c r="H151" i="4"/>
  <c r="H152" i="4"/>
  <c r="H165" i="4"/>
  <c r="H166" i="4"/>
  <c r="H167" i="4"/>
  <c r="H168" i="4"/>
  <c r="H169" i="4"/>
  <c r="H170" i="4"/>
  <c r="H171" i="4"/>
  <c r="H172" i="4"/>
  <c r="H173" i="4"/>
  <c r="O147" i="4" l="1"/>
  <c r="D147" i="4"/>
  <c r="P32" i="4"/>
  <c r="O96" i="4"/>
  <c r="D96" i="4"/>
  <c r="O97" i="4"/>
  <c r="F97" i="4"/>
  <c r="D97" i="4"/>
  <c r="D98" i="4"/>
  <c r="O98" i="4" s="1"/>
  <c r="P98" i="4" s="1"/>
  <c r="P97" i="4" l="1"/>
  <c r="P96" i="4"/>
  <c r="P147" i="4"/>
  <c r="F98" i="4"/>
  <c r="H98" i="4" s="1"/>
  <c r="G97" i="4"/>
  <c r="H97" i="4"/>
  <c r="P120" i="4"/>
  <c r="G98" i="4" l="1"/>
  <c r="P126" i="4"/>
  <c r="P127" i="4"/>
  <c r="P128" i="4"/>
  <c r="P129" i="4"/>
  <c r="P131" i="4"/>
  <c r="P133" i="4"/>
  <c r="P135" i="4"/>
  <c r="P136" i="4"/>
  <c r="P137" i="4"/>
  <c r="P138" i="4"/>
  <c r="P139" i="4"/>
  <c r="P140" i="4"/>
  <c r="P141" i="4"/>
  <c r="P142" i="4"/>
  <c r="P143" i="4"/>
  <c r="P144" i="4"/>
  <c r="P145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25" i="4"/>
  <c r="P119" i="4"/>
  <c r="P56" i="4"/>
  <c r="P57" i="4"/>
  <c r="P58" i="4"/>
  <c r="P59" i="4"/>
  <c r="P60" i="4"/>
  <c r="P62" i="4"/>
  <c r="P63" i="4"/>
  <c r="P64" i="4"/>
  <c r="P65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5" i="4"/>
  <c r="P87" i="4"/>
  <c r="P88" i="4"/>
  <c r="P89" i="4"/>
  <c r="P109" i="4"/>
  <c r="P110" i="4"/>
  <c r="P111" i="4"/>
  <c r="P112" i="4"/>
  <c r="P113" i="4"/>
  <c r="P114" i="4"/>
  <c r="P115" i="4"/>
  <c r="P116" i="4"/>
  <c r="P117" i="4"/>
  <c r="P118" i="4"/>
  <c r="P55" i="4"/>
  <c r="P5" i="4"/>
  <c r="P6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8" i="4"/>
  <c r="P29" i="4"/>
  <c r="P30" i="4"/>
  <c r="P33" i="4"/>
  <c r="P45" i="4"/>
  <c r="P46" i="4"/>
  <c r="P47" i="4"/>
  <c r="P48" i="4"/>
  <c r="P49" i="4"/>
  <c r="P3" i="4"/>
  <c r="J143" i="4" l="1"/>
  <c r="J128" i="4"/>
  <c r="J141" i="4"/>
  <c r="J139" i="4"/>
  <c r="G90" i="4" l="1"/>
  <c r="F120" i="4"/>
  <c r="G120" i="4" s="1"/>
  <c r="E120" i="4"/>
  <c r="H120" i="4" s="1"/>
  <c r="G119" i="4"/>
  <c r="F119" i="4"/>
  <c r="E119" i="4"/>
  <c r="G118" i="4"/>
  <c r="E118" i="4"/>
  <c r="H118" i="4" s="1"/>
  <c r="G117" i="4"/>
  <c r="E117" i="4"/>
  <c r="H117" i="4" s="1"/>
  <c r="H119" i="4" l="1"/>
  <c r="F68" i="4"/>
  <c r="E68" i="4"/>
  <c r="E116" i="4"/>
  <c r="H116" i="4" s="1"/>
  <c r="G116" i="4"/>
  <c r="F115" i="4"/>
  <c r="G115" i="4" s="1"/>
  <c r="E115" i="4"/>
  <c r="H115" i="4" s="1"/>
  <c r="F114" i="4"/>
  <c r="G114" i="4" s="1"/>
  <c r="F113" i="4"/>
  <c r="G113" i="4" s="1"/>
  <c r="E113" i="4" s="1"/>
  <c r="H113" i="4" s="1"/>
  <c r="E112" i="4"/>
  <c r="F112" i="4"/>
  <c r="G112" i="4" s="1"/>
  <c r="E111" i="4"/>
  <c r="F111" i="4"/>
  <c r="G111" i="4" s="1"/>
  <c r="F110" i="4"/>
  <c r="E110" i="4" s="1"/>
  <c r="H110" i="4" s="1"/>
  <c r="F109" i="4"/>
  <c r="E109" i="4" s="1"/>
  <c r="H109" i="4" s="1"/>
  <c r="H68" i="4" l="1"/>
  <c r="H111" i="4"/>
  <c r="H112" i="4"/>
  <c r="E114" i="4"/>
  <c r="H114" i="4" s="1"/>
  <c r="E106" i="4"/>
  <c r="E105" i="4"/>
  <c r="E104" i="4"/>
  <c r="E103" i="4"/>
  <c r="E102" i="4"/>
  <c r="E101" i="4"/>
  <c r="E100" i="4"/>
  <c r="E80" i="4"/>
  <c r="H80" i="4" s="1"/>
  <c r="E79" i="4"/>
  <c r="H79" i="4" s="1"/>
  <c r="G95" i="4"/>
  <c r="E95" i="4"/>
  <c r="H95" i="4" s="1"/>
  <c r="G94" i="4"/>
  <c r="E94" i="4"/>
  <c r="H94" i="4" s="1"/>
  <c r="G92" i="4"/>
  <c r="E92" i="4"/>
  <c r="H92" i="4" s="1"/>
  <c r="E93" i="4"/>
  <c r="H93" i="4" s="1"/>
  <c r="G93" i="4"/>
  <c r="G91" i="4"/>
  <c r="E91" i="4"/>
  <c r="H91" i="4" s="1"/>
  <c r="G99" i="4"/>
  <c r="E99" i="4"/>
  <c r="H99" i="4" s="1"/>
  <c r="E90" i="4"/>
  <c r="H90" i="4" s="1"/>
  <c r="G89" i="4" l="1"/>
  <c r="E89" i="4"/>
  <c r="H89" i="4" s="1"/>
  <c r="G88" i="4" l="1"/>
  <c r="E88" i="4"/>
  <c r="H88" i="4" s="1"/>
  <c r="G87" i="4"/>
  <c r="E87" i="4"/>
  <c r="H87" i="4" s="1"/>
  <c r="G82" i="4"/>
  <c r="R82" i="4"/>
  <c r="E82" i="4"/>
  <c r="H82" i="4" s="1"/>
  <c r="G81" i="4"/>
  <c r="E81" i="4"/>
  <c r="H81" i="4" s="1"/>
  <c r="G86" i="4"/>
  <c r="E86" i="4"/>
  <c r="H86" i="4" s="1"/>
  <c r="G85" i="4"/>
  <c r="E85" i="4"/>
  <c r="H85" i="4" s="1"/>
  <c r="G83" i="4"/>
  <c r="E83" i="4"/>
  <c r="H83" i="4" s="1"/>
  <c r="G61" i="4"/>
  <c r="F50" i="4" l="1"/>
  <c r="H50" i="4" s="1"/>
  <c r="E25" i="4"/>
  <c r="H25" i="4" s="1"/>
  <c r="E24" i="4"/>
  <c r="H24" i="4" s="1"/>
  <c r="E22" i="4" l="1"/>
  <c r="H22" i="4" s="1"/>
  <c r="F21" i="4"/>
  <c r="E21" i="4" s="1"/>
  <c r="H21" i="4" s="1"/>
  <c r="E49" i="4"/>
  <c r="E48" i="4"/>
  <c r="H48" i="4" s="1"/>
  <c r="E31" i="4" l="1"/>
  <c r="H31" i="4" s="1"/>
  <c r="E20" i="4"/>
  <c r="H20" i="4" s="1"/>
  <c r="E19" i="4"/>
  <c r="H19" i="4" s="1"/>
  <c r="E18" i="4"/>
  <c r="H18" i="4" s="1"/>
  <c r="G17" i="4"/>
  <c r="E17" i="4"/>
  <c r="H17" i="4" s="1"/>
  <c r="E75" i="4" l="1"/>
  <c r="H75" i="4" s="1"/>
  <c r="G74" i="4"/>
  <c r="E74" i="4"/>
  <c r="H74" i="4" s="1"/>
  <c r="E73" i="4"/>
  <c r="E72" i="4"/>
  <c r="G71" i="4"/>
  <c r="E71" i="4"/>
  <c r="H71" i="4" s="1"/>
  <c r="E70" i="4"/>
  <c r="G69" i="4"/>
  <c r="E69" i="4"/>
  <c r="H69" i="4" s="1"/>
  <c r="O66" i="4" l="1"/>
  <c r="P66" i="4" s="1"/>
  <c r="E61" i="4" l="1"/>
  <c r="H61" i="4" s="1"/>
  <c r="E60" i="4"/>
  <c r="H60" i="4" s="1"/>
  <c r="G78" i="4"/>
  <c r="E78" i="4"/>
  <c r="H78" i="4" s="1"/>
  <c r="G59" i="4"/>
  <c r="E59" i="4"/>
  <c r="H59" i="4" s="1"/>
  <c r="E58" i="4"/>
  <c r="H58" i="4" s="1"/>
  <c r="E57" i="4"/>
  <c r="H57" i="4" s="1"/>
  <c r="E56" i="4" l="1"/>
  <c r="H56" i="4" s="1"/>
  <c r="G55" i="4"/>
  <c r="E55" i="4"/>
  <c r="H55" i="4" s="1"/>
  <c r="F47" i="4" l="1"/>
  <c r="F46" i="4"/>
  <c r="E46" i="4" s="1"/>
  <c r="H46" i="4" s="1"/>
  <c r="R45" i="4"/>
  <c r="F45" i="4"/>
  <c r="E45" i="4" s="1"/>
  <c r="H45" i="4" s="1"/>
  <c r="O42" i="4"/>
  <c r="O43" i="4"/>
  <c r="O44" i="4"/>
  <c r="O41" i="4"/>
  <c r="F42" i="4"/>
  <c r="E42" i="4" s="1"/>
  <c r="H42" i="4" s="1"/>
  <c r="F43" i="4"/>
  <c r="E43" i="4" s="1"/>
  <c r="H43" i="4" s="1"/>
  <c r="F44" i="4"/>
  <c r="E44" i="4" s="1"/>
  <c r="H44" i="4" s="1"/>
  <c r="F41" i="4"/>
  <c r="E41" i="4" s="1"/>
  <c r="H41" i="4" s="1"/>
  <c r="D40" i="4" l="1"/>
  <c r="D38" i="4"/>
  <c r="F29" i="4"/>
  <c r="F30" i="4"/>
  <c r="F28" i="4"/>
  <c r="E26" i="4"/>
  <c r="F26" i="4"/>
  <c r="O26" i="4"/>
  <c r="G29" i="4" l="1"/>
  <c r="H29" i="4"/>
  <c r="E38" i="4"/>
  <c r="P38" i="4"/>
  <c r="G30" i="4"/>
  <c r="H30" i="4"/>
  <c r="H26" i="4"/>
  <c r="G28" i="4"/>
  <c r="H28" i="4"/>
  <c r="E40" i="4"/>
  <c r="P40" i="4"/>
  <c r="G13" i="4"/>
  <c r="E13" i="4"/>
  <c r="H13" i="4" s="1"/>
  <c r="G12" i="4" l="1"/>
  <c r="E12" i="4"/>
  <c r="H12" i="4" s="1"/>
  <c r="G11" i="4"/>
  <c r="E11" i="4"/>
  <c r="H11" i="4" s="1"/>
  <c r="G10" i="4"/>
  <c r="E10" i="4"/>
  <c r="H10" i="4" s="1"/>
  <c r="G9" i="4"/>
  <c r="G8" i="4"/>
  <c r="E8" i="4"/>
  <c r="H8" i="4" s="1"/>
  <c r="D8" i="4"/>
  <c r="P8" i="4" s="1"/>
  <c r="G7" i="4"/>
  <c r="E7" i="4"/>
  <c r="H7" i="4" s="1"/>
  <c r="D7" i="4"/>
  <c r="P7" i="4" s="1"/>
  <c r="E6" i="4"/>
  <c r="H6" i="4" s="1"/>
  <c r="G6" i="4"/>
  <c r="G5" i="4"/>
  <c r="E4" i="4"/>
  <c r="H4" i="4" s="1"/>
  <c r="G4" i="4"/>
  <c r="G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5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Metalloporphyrins bearing iron, cobalt, manganese, and ruthenium have been explored extensively for the epoxidation of olefins.</t>
        </r>
      </text>
    </comment>
    <comment ref="E66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based on phenol yield. Conversion is not available</t>
        </r>
      </text>
    </comment>
    <comment ref="E72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based on phenol yield. Conversion is not available</t>
        </r>
      </text>
    </comment>
    <comment ref="F84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reaction volume unknwn</t>
        </r>
      </text>
    </comment>
    <comment ref="K84" authorId="0" shapeId="0" xr:uid="{00000000-0006-0000-0000-000005000000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byproduct:hydroxylation (next to C=C) bound and corresponding ketone product</t>
        </r>
      </text>
    </comment>
    <comment ref="K8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byproduct: hydroxylation next to C=C, ee (S)=50%</t>
        </r>
      </text>
    </comment>
  </commentList>
</comments>
</file>

<file path=xl/sharedStrings.xml><?xml version="1.0" encoding="utf-8"?>
<sst xmlns="http://schemas.openxmlformats.org/spreadsheetml/2006/main" count="1184" uniqueCount="666">
  <si>
    <t>H2O2</t>
  </si>
  <si>
    <t>1 atm</t>
  </si>
  <si>
    <t>phosphate buffer (100 mM, pH 7)</t>
  </si>
  <si>
    <t>benzene</t>
  </si>
  <si>
    <t>H2O</t>
  </si>
  <si>
    <t>4-ethylphenol</t>
  </si>
  <si>
    <t>propylbenzene</t>
  </si>
  <si>
    <t>butylbenzene</t>
  </si>
  <si>
    <t>PhIO</t>
  </si>
  <si>
    <t>PhI(OAc)2</t>
  </si>
  <si>
    <t>ethylbenzeme</t>
  </si>
  <si>
    <t>Fe complex</t>
  </si>
  <si>
    <t>ee (%)</t>
  </si>
  <si>
    <t>40, R</t>
  </si>
  <si>
    <t>77.5, R</t>
  </si>
  <si>
    <t xml:space="preserve">difluoroethanol </t>
  </si>
  <si>
    <t>150-500</t>
  </si>
  <si>
    <t>Ottenbacher (2018)</t>
  </si>
  <si>
    <t>Talsi (2017)</t>
  </si>
  <si>
    <t>Mn complex</t>
  </si>
  <si>
    <t>tetrahydronaphthalene</t>
  </si>
  <si>
    <t>1-ethyl-4-methylbenzene</t>
  </si>
  <si>
    <t>66, R</t>
  </si>
  <si>
    <t>72, R</t>
  </si>
  <si>
    <t>86, R</t>
  </si>
  <si>
    <t>Dantignana (2017)</t>
  </si>
  <si>
    <t>Mn(dMMpdp)</t>
  </si>
  <si>
    <t>2-ethylhexanoic acid</t>
  </si>
  <si>
    <t>Groves (1990)</t>
  </si>
  <si>
    <t>Mn complex (R,R)-3</t>
  </si>
  <si>
    <t>ethylbenzne</t>
  </si>
  <si>
    <t>62, S</t>
  </si>
  <si>
    <t>70, S</t>
  </si>
  <si>
    <t>72, S</t>
  </si>
  <si>
    <t>N-carbobenzyloxy-D-proline</t>
  </si>
  <si>
    <t>Cl2pyNO</t>
  </si>
  <si>
    <t>Zhang (2005)</t>
  </si>
  <si>
    <t>RT</t>
  </si>
  <si>
    <t xml:space="preserve">4-ethyltoluene </t>
  </si>
  <si>
    <t xml:space="preserve">1-bromo-4-ethylbenzene </t>
  </si>
  <si>
    <t>57, S</t>
  </si>
  <si>
    <t>76, S</t>
  </si>
  <si>
    <t>Srour (2012)</t>
  </si>
  <si>
    <t>MeOH/PBS (pH 7) (1/1), under Ar atmosphere</t>
  </si>
  <si>
    <t> imidazole</t>
  </si>
  <si>
    <t>Maux (2012)</t>
  </si>
  <si>
    <t>nd</t>
  </si>
  <si>
    <r>
      <t>Fe</t>
    </r>
    <r>
      <rPr>
        <vertAlign val="superscript"/>
        <sz val="11"/>
        <color rgb="FF1C1D1E"/>
        <rFont val="Calibri"/>
        <family val="2"/>
        <scheme val="minor"/>
      </rPr>
      <t>lll</t>
    </r>
    <r>
      <rPr>
        <sz val="11"/>
        <color rgb="FF1C1D1E"/>
        <rFont val="Calibri"/>
        <family val="2"/>
        <scheme val="minor"/>
      </rPr>
      <t xml:space="preserve"> porphyrin complex </t>
    </r>
  </si>
  <si>
    <t xml:space="preserve">ethylbenzene </t>
  </si>
  <si>
    <t>Lakk-Bogáth (2019)</t>
  </si>
  <si>
    <t>[((R)-(−)-N4Py*)FeII(CH3CN)]2+</t>
  </si>
  <si>
    <t xml:space="preserve"> TBHP</t>
  </si>
  <si>
    <t>11.5, R</t>
  </si>
  <si>
    <t xml:space="preserve">Mn(II)-Met@MMNPs </t>
  </si>
  <si>
    <t>20 g/L</t>
  </si>
  <si>
    <t>N-
hydroxyphthalimide (co-oxidant)</t>
  </si>
  <si>
    <t>Faraji (2019)</t>
  </si>
  <si>
    <t>Habibi (2014)</t>
  </si>
  <si>
    <t>SiO2/Al2O3-APTMS-BPK-Co(II)</t>
  </si>
  <si>
    <t>&lt;0.02</t>
  </si>
  <si>
    <t>acetic acid</t>
  </si>
  <si>
    <t>5 g/L</t>
  </si>
  <si>
    <t>Xavier (2004)</t>
  </si>
  <si>
    <t>&gt;99</t>
  </si>
  <si>
    <t>Tonin (2021)</t>
  </si>
  <si>
    <t>indane</t>
  </si>
  <si>
    <t>tetralin</t>
  </si>
  <si>
    <t>99, R</t>
  </si>
  <si>
    <t>87, R</t>
  </si>
  <si>
    <t>10 mM potassium phosphate buffer (pH 7.0), 20% MeCN</t>
  </si>
  <si>
    <t>Kluge (2012)</t>
  </si>
  <si>
    <t>EbDH</t>
  </si>
  <si>
    <t>&gt;99, S</t>
  </si>
  <si>
    <t>2 or 3-ethylphenol</t>
  </si>
  <si>
    <t>2 or 3-ethylaniline</t>
  </si>
  <si>
    <t>100 mM Tris/HCl (pH 7.5)</t>
  </si>
  <si>
    <t xml:space="preserve"> ferricenium(III) tetrafluoroborate</t>
  </si>
  <si>
    <t>tert-butanol</t>
  </si>
  <si>
    <t>ferricyanide</t>
  </si>
  <si>
    <t>imm-EbDH</t>
  </si>
  <si>
    <t>24 mU</t>
  </si>
  <si>
    <t>Tris/HCl pH 7.5, wo O2</t>
  </si>
  <si>
    <t>Tataruch (2014)</t>
  </si>
  <si>
    <t>97, R</t>
  </si>
  <si>
    <t>KPi buffer (50 mM, pH 7)</t>
  </si>
  <si>
    <t>Hobisch (2022)</t>
  </si>
  <si>
    <t>74-80, S</t>
  </si>
  <si>
    <t>88 mM potassium phosphate buffer, pH 7.5,10% acetone</t>
  </si>
  <si>
    <t>pure</t>
  </si>
  <si>
    <t xml:space="preserve">4-ethylphenol </t>
  </si>
  <si>
    <t>202 U</t>
  </si>
  <si>
    <t>Ewing (2018)</t>
  </si>
  <si>
    <t>90, S</t>
  </si>
  <si>
    <t>100 mM citrate buffer (pH 5.0)</t>
  </si>
  <si>
    <t>88, S</t>
  </si>
  <si>
    <t>0.1 mL enzyme/4.5 mL reaction</t>
  </si>
  <si>
    <t>toluene</t>
  </si>
  <si>
    <t>t-BHP</t>
  </si>
  <si>
    <t>100 mM potassium phosphate buffer (pH 5.5 (phase ratio of 0.5), 0.8%(w/v) AOT</t>
  </si>
  <si>
    <t>Park (2006)_2 papers</t>
  </si>
  <si>
    <t>14, R</t>
  </si>
  <si>
    <t>100 mM phosphate buffer (pH 8.0)</t>
  </si>
  <si>
    <t>dual-functional small molecule</t>
  </si>
  <si>
    <t>Ma (2019)</t>
  </si>
  <si>
    <t>P450BM3 mutant F87A-T268V/Im-C6-Phe combination</t>
  </si>
  <si>
    <t>4-ethylbenzoic acid</t>
  </si>
  <si>
    <t>&gt;80, S</t>
  </si>
  <si>
    <t>CYP199A4</t>
  </si>
  <si>
    <t xml:space="preserve">CYP199A4 mutant S244D </t>
  </si>
  <si>
    <t>&gt;20000</t>
  </si>
  <si>
    <t>50 mM Tris, pH 7.4</t>
  </si>
  <si>
    <t>NADH, MeOH or DMSO</t>
  </si>
  <si>
    <t>&gt;120</t>
  </si>
  <si>
    <t>0.32 mM, 1 vol %</t>
  </si>
  <si>
    <t>Chao (2021)</t>
  </si>
  <si>
    <t>Peng (2003)</t>
  </si>
  <si>
    <t>Anandababu (2020)</t>
  </si>
  <si>
    <t>Triethylamine</t>
  </si>
  <si>
    <t>Muthuramalingam (2019)</t>
  </si>
  <si>
    <t>Kumari (2020)</t>
  </si>
  <si>
    <t>MeCN</t>
  </si>
  <si>
    <t>Raba (2014)</t>
  </si>
  <si>
    <t>[(C−N−C)Fe(MeCN)3][BPh4]2</t>
  </si>
  <si>
    <r>
      <t>Fe(DS)</t>
    </r>
    <r>
      <rPr>
        <vertAlign val="subscript"/>
        <sz val="11"/>
        <color theme="1"/>
        <rFont val="Calibri"/>
        <family val="2"/>
        <scheme val="minor"/>
      </rPr>
      <t>3</t>
    </r>
  </si>
  <si>
    <t>&lt;48 (78 for ring products)</t>
  </si>
  <si>
    <t>Ramu (2017)</t>
  </si>
  <si>
    <t>1 mM in solution (10 bar)</t>
  </si>
  <si>
    <t>Sarma (2016)</t>
  </si>
  <si>
    <r>
      <t>H</t>
    </r>
    <r>
      <rPr>
        <vertAlign val="subscript"/>
        <sz val="11"/>
        <color rgb="FF000000"/>
        <rFont val="Calibri"/>
        <family val="2"/>
        <scheme val="minor"/>
      </rPr>
      <t>5</t>
    </r>
    <r>
      <rPr>
        <sz val="11"/>
        <color rgb="FF000000"/>
        <rFont val="Calibri"/>
        <family val="2"/>
        <scheme val="minor"/>
      </rPr>
      <t>PV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Mo</t>
    </r>
    <r>
      <rPr>
        <vertAlign val="subscript"/>
        <sz val="11"/>
        <color rgb="FF000000"/>
        <rFont val="Calibri"/>
        <family val="2"/>
        <scheme val="minor"/>
      </rPr>
      <t>10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40</t>
    </r>
    <r>
      <rPr>
        <sz val="11"/>
        <color rgb="FF000000"/>
        <rFont val="Calibri"/>
        <family val="2"/>
        <scheme val="minor"/>
      </rPr>
      <t xml:space="preserve"> *32 H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</t>
    </r>
  </si>
  <si>
    <t>Dong (2016)</t>
  </si>
  <si>
    <t>Shijina (2009)</t>
  </si>
  <si>
    <t>Fe/SBA-16</t>
  </si>
  <si>
    <t>1 g/9 mL</t>
  </si>
  <si>
    <t>Jourshabani (2016)</t>
  </si>
  <si>
    <t>Hu (2017)</t>
  </si>
  <si>
    <t>4V/MSN-S</t>
  </si>
  <si>
    <t>Fe-TBAPy</t>
  </si>
  <si>
    <t>0.05 g/ 9 mL</t>
  </si>
  <si>
    <t>Tu (2019)</t>
  </si>
  <si>
    <t>0.02 g / 6.8 mL</t>
  </si>
  <si>
    <t>0.2-V-C-600</t>
  </si>
  <si>
    <t>Hu (2015)</t>
  </si>
  <si>
    <t>Carneiro (2016)</t>
  </si>
  <si>
    <t>acetone</t>
  </si>
  <si>
    <t>Yamada (2016)</t>
  </si>
  <si>
    <t>Mn-G-SBA-15-NN</t>
  </si>
  <si>
    <t>0.07 g/ 3.7 mL</t>
  </si>
  <si>
    <t xml:space="preserve"> Kalbasi (2011)</t>
  </si>
  <si>
    <t>pH 7 buffer</t>
  </si>
  <si>
    <t>Shiraishi (2005)</t>
  </si>
  <si>
    <t>N2, Hg lamp &gt;320 nm</t>
  </si>
  <si>
    <t>O2, 300 W  Xelamp, &gt;300 nm</t>
  </si>
  <si>
    <t>Tomita (2011)</t>
  </si>
  <si>
    <t>0.1 g/40 mL</t>
  </si>
  <si>
    <t>low pressure, mercury lamp</t>
  </si>
  <si>
    <t>Dasireddy (2017)</t>
  </si>
  <si>
    <t>CU/Ti/CNT</t>
  </si>
  <si>
    <t>UV light</t>
  </si>
  <si>
    <t>0.005 g/ 13.687 mL</t>
  </si>
  <si>
    <t>Devaraji (2019)</t>
  </si>
  <si>
    <t>MIL-100(Fe)</t>
  </si>
  <si>
    <t xml:space="preserve"> light irradiation (λ ≥ 420 nm)</t>
  </si>
  <si>
    <t>MeCN/H2O=1:1</t>
  </si>
  <si>
    <t>0.01 g/4 mL</t>
  </si>
  <si>
    <t>Wang (2015)</t>
  </si>
  <si>
    <r>
      <t>QuCN</t>
    </r>
    <r>
      <rPr>
        <vertAlign val="superscript"/>
        <sz val="11"/>
        <color theme="1"/>
        <rFont val="Calibri"/>
        <family val="2"/>
        <scheme val="minor"/>
      </rPr>
      <t>+</t>
    </r>
  </si>
  <si>
    <t>[H2O]=3 M</t>
  </si>
  <si>
    <t>C6H5Cl</t>
  </si>
  <si>
    <t>300 W mercury lamp</t>
  </si>
  <si>
    <t>Ohkubo (2011)</t>
  </si>
  <si>
    <t>Mekmouche (2000)</t>
  </si>
  <si>
    <t>16, R</t>
  </si>
  <si>
    <t>9.9, S</t>
  </si>
  <si>
    <t>m-CPBA</t>
  </si>
  <si>
    <t>Nagataki (2005)</t>
  </si>
  <si>
    <t>Nagataki (2007)</t>
  </si>
  <si>
    <t>cyclohexane</t>
  </si>
  <si>
    <t>Sankaralingam (2013)</t>
  </si>
  <si>
    <t>neat environment (9200 mM)</t>
  </si>
  <si>
    <t>N-CNDs, UV-LED illumination</t>
  </si>
  <si>
    <t>0.725 mg/mL</t>
  </si>
  <si>
    <t>Hobisch (2020)</t>
  </si>
  <si>
    <t>pSEVA_Cyp</t>
  </si>
  <si>
    <t>100 mM KPi (pH 7.4)</t>
  </si>
  <si>
    <t>air</t>
  </si>
  <si>
    <t xml:space="preserve"> glucose</t>
  </si>
  <si>
    <t xml:space="preserve"> 1% (w/v)</t>
  </si>
  <si>
    <t>Schäfer (2020)</t>
  </si>
  <si>
    <t>Syn6803_CYP</t>
  </si>
  <si>
    <t>hv</t>
  </si>
  <si>
    <t>49.4 (mmol product/g CDW)</t>
  </si>
  <si>
    <t>Hoschek (2018)</t>
  </si>
  <si>
    <t>Nesterov (2012)</t>
  </si>
  <si>
    <t>cyclooctane</t>
  </si>
  <si>
    <t xml:space="preserve"> Sutradhar (2013)</t>
  </si>
  <si>
    <t>PCA</t>
  </si>
  <si>
    <t xml:space="preserve">A/K (alcohol/ketone) </t>
  </si>
  <si>
    <t>&gt;99 %(traces of ketone)</t>
  </si>
  <si>
    <t>&gt;99% (traces of ketone)</t>
  </si>
  <si>
    <t>&gt;99%</t>
  </si>
  <si>
    <t>2.3-7.4</t>
  </si>
  <si>
    <t>ethane</t>
  </si>
  <si>
    <t>propane</t>
  </si>
  <si>
    <t>0.126-9</t>
  </si>
  <si>
    <t>butane</t>
  </si>
  <si>
    <t>P450BM3 Mutant F87A/T268I/A184I</t>
  </si>
  <si>
    <t>Im-C6-Phe</t>
  </si>
  <si>
    <t>propane-saturated
phosphate buffer (pH 8.0)</t>
  </si>
  <si>
    <t>95.8 (2-ol)</t>
  </si>
  <si>
    <t>&lt;1</t>
  </si>
  <si>
    <t>Chen (2019)</t>
  </si>
  <si>
    <t>&gt;99%, regioselectivity is poor</t>
  </si>
  <si>
    <t>2LPS (4078 mM)</t>
  </si>
  <si>
    <t>2LPS (4705 mM)</t>
  </si>
  <si>
    <t>2LPS (4145 mM)</t>
  </si>
  <si>
    <t>2LPS (4050 mM)</t>
  </si>
  <si>
    <t xml:space="preserve">   </t>
  </si>
  <si>
    <t xml:space="preserve">Mn(TPP)Cl </t>
  </si>
  <si>
    <t xml:space="preserve"> isobutyraldehyde</t>
  </si>
  <si>
    <t>Zhou (2010)</t>
  </si>
  <si>
    <t>cyclohexene</t>
  </si>
  <si>
    <t>1  mmol</t>
  </si>
  <si>
    <t>0.02 mmol</t>
  </si>
  <si>
    <r>
      <t>[(cyclam)Fe</t>
    </r>
    <r>
      <rPr>
        <vertAlign val="superscript"/>
        <sz val="11"/>
        <color rgb="FF000000"/>
        <rFont val="Calibri"/>
        <family val="2"/>
        <scheme val="minor"/>
      </rPr>
      <t>II</t>
    </r>
    <r>
      <rPr>
        <sz val="11"/>
        <color rgb="FF000000"/>
        <rFont val="Calibri"/>
        <family val="2"/>
        <scheme val="minor"/>
      </rPr>
      <t>](OTf)</t>
    </r>
    <r>
      <rPr>
        <vertAlign val="subscript"/>
        <sz val="11"/>
        <color rgb="FF000000"/>
        <rFont val="Calibri"/>
        <family val="2"/>
        <scheme val="minor"/>
      </rPr>
      <t>2</t>
    </r>
  </si>
  <si>
    <t>Engelmann (2019)</t>
  </si>
  <si>
    <t>Guo (2018)</t>
  </si>
  <si>
    <r>
      <t>[Mn</t>
    </r>
    <r>
      <rPr>
        <vertAlign val="superscript"/>
        <sz val="11"/>
        <color rgb="FF000000"/>
        <rFont val="Calibri"/>
        <family val="2"/>
        <scheme val="minor"/>
      </rPr>
      <t>III</t>
    </r>
    <r>
      <rPr>
        <sz val="11"/>
        <color rgb="FF000000"/>
        <rFont val="Calibri"/>
        <family val="2"/>
        <scheme val="minor"/>
      </rPr>
      <t>(TDCPP)Cl]</t>
    </r>
  </si>
  <si>
    <t>1000, 1777</t>
  </si>
  <si>
    <t>isobutyraldehyde, chlorobenzene</t>
  </si>
  <si>
    <r>
      <t>Fe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/tart/Mn(TCPP)Cl</t>
    </r>
  </si>
  <si>
    <t>Farokhi (2016)</t>
  </si>
  <si>
    <t>MNP@SiO2[4-NH-Mn-TDCPP]</t>
  </si>
  <si>
    <t>&gt;97%</t>
  </si>
  <si>
    <t>butyronitrile</t>
  </si>
  <si>
    <t>Dias (2018)</t>
  </si>
  <si>
    <t>isobutyraldehyde (this is co-reductant)</t>
  </si>
  <si>
    <t>cyclooctene</t>
  </si>
  <si>
    <t>&gt;98%</t>
  </si>
  <si>
    <t>aldehyde</t>
  </si>
  <si>
    <t>52, S</t>
  </si>
  <si>
    <t>Amiri (2014)</t>
  </si>
  <si>
    <t>styrene</t>
  </si>
  <si>
    <t>Chloro(5,10,15,20-Tetrakis-(1,2,3,4,5,6,7,8-octahydro-1,4;5,8-dimethano-anthracen-9-yl)-porphyrin) iron(III)</t>
  </si>
  <si>
    <t>48, S</t>
  </si>
  <si>
    <t>imidazole</t>
  </si>
  <si>
    <t>Chloro(5,10,15,20-Tetrakis-(10-nitro-1,2,3,4,5,6,7,8-octahydro-1,4;5,8-dimethano-anthracen-9-yl)-porphyrin) manganese(III)</t>
  </si>
  <si>
    <t>MeOH/ buffer solution (pH 7)=3/1</t>
  </si>
  <si>
    <t>47, R</t>
  </si>
  <si>
    <t>Mn HaltS(Cl)</t>
  </si>
  <si>
    <r>
      <t>Fe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O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-[Mn(TCPP-Ind)Cl]</t>
    </r>
  </si>
  <si>
    <t>α-methyl styrene</t>
  </si>
  <si>
    <t>100, S</t>
  </si>
  <si>
    <t>IBA</t>
  </si>
  <si>
    <t>Farokhi (2018)</t>
  </si>
  <si>
    <t>25+L82:Q82</t>
  </si>
  <si>
    <t>78 (22% is aldehyde)</t>
  </si>
  <si>
    <t>65, (R,R)</t>
  </si>
  <si>
    <t>61 (26% is cis-epoxide, 13% is trans (S,S)-epoxide</t>
  </si>
  <si>
    <t>89 (S)</t>
  </si>
  <si>
    <t>85 (5% is R, 10% is aldehyde)</t>
  </si>
  <si>
    <t>95 (S)</t>
  </si>
  <si>
    <t>87 (2% is R, 11% is aldehyde)</t>
  </si>
  <si>
    <t>1000, 178</t>
  </si>
  <si>
    <t>Farokhi (2017)</t>
  </si>
  <si>
    <t>CBA15-[Mn(TCPP-R*)Cl]</t>
  </si>
  <si>
    <t>99 (S)</t>
  </si>
  <si>
    <t>1-octene</t>
  </si>
  <si>
    <t>1-decene</t>
  </si>
  <si>
    <t>33 is o-phenol (26% is p-phenol, 4% benzyl alcohol, 25% benzyl aldehyde, 16% benzoquinone)</t>
  </si>
  <si>
    <t xml:space="preserve">&lt;3 (1% is p-phenol, 13%benzyl alcohol, 82% benzyl aldehyde) </t>
  </si>
  <si>
    <t>95, R</t>
  </si>
  <si>
    <t>potassium phosphate buffer (0.1 M, pH 7.0)</t>
  </si>
  <si>
    <t>99, S</t>
  </si>
  <si>
    <t>Xiao (2021)</t>
  </si>
  <si>
    <t>0.02 g CDW E. coli cells / mL</t>
  </si>
  <si>
    <t>isopropanol, PsStyB</t>
  </si>
  <si>
    <t>0.4 vol %, 0.1 g/L</t>
  </si>
  <si>
    <t>99,S</t>
  </si>
  <si>
    <t>Fus-SMO,  Cb-FDH co-expreesed</t>
  </si>
  <si>
    <t>Kpi buffer (pH 8, 50 mm, 100 mL)/heptane=1/1</t>
  </si>
  <si>
    <t>1 mM, 250 mM, 50 uM, 2 uM</t>
  </si>
  <si>
    <t>5 mg/mL Lyophilised whole cells</t>
  </si>
  <si>
    <t>6 mg/mL Lyophilised whole cells</t>
  </si>
  <si>
    <t xml:space="preserve"> Corrado (2017)</t>
  </si>
  <si>
    <t>Kpi buffer (pH 8, 50 mm, 100 mL)/heptane=1/2</t>
  </si>
  <si>
    <t>2 mM, 250 mM, 50 uM, 2 uM</t>
  </si>
  <si>
    <t>1 mM, 0.2 mM, 0.06 mL/mL</t>
  </si>
  <si>
    <t>20% wet w/v</t>
  </si>
  <si>
    <t>99.9% (2S,3S)</t>
  </si>
  <si>
    <t xml:space="preserve">2-heptene  </t>
  </si>
  <si>
    <t>Toda (2014)</t>
  </si>
  <si>
    <t>1-hexene</t>
  </si>
  <si>
    <t>94.8, S</t>
  </si>
  <si>
    <t>propene</t>
  </si>
  <si>
    <t>AM0</t>
  </si>
  <si>
    <t>Soluble  extract 20 mg/ml</t>
  </si>
  <si>
    <t>85, R</t>
  </si>
  <si>
    <t>NADH</t>
  </si>
  <si>
    <t>3 mL gas (0.45 mL aqueous solution)</t>
  </si>
  <si>
    <t>25 mM Mops pH 7.5 containing 1 mM benzamidine, 10 mM MgSO,, 1 mM dithiothreitol</t>
  </si>
  <si>
    <t>Gallagher (1997)</t>
  </si>
  <si>
    <t>69.4, R</t>
  </si>
  <si>
    <t>0.0005 mM, 0.004 mM, 0.0005</t>
  </si>
  <si>
    <t>50 mM MOPS, pH 7.2,
15% glycerol, and 1 mM DTT, pH 7.2, containing 1 mM NADH and 2 mM toluene</t>
  </si>
  <si>
    <t>Champreda (2006)</t>
  </si>
  <si>
    <t xml:space="preserve">XAMO </t>
  </si>
  <si>
    <t>P450BM3 variant (F87A/T268A/V78A)</t>
  </si>
  <si>
    <t>P450BM3 variant (F87A/T268A/V78A/A184L)</t>
  </si>
  <si>
    <t>0.1 M, pH 8.0 phosphate buffer</t>
  </si>
  <si>
    <t>Zhao (2021)</t>
  </si>
  <si>
    <t>90.6 (1S,2R)</t>
  </si>
  <si>
    <t>TBHP</t>
  </si>
  <si>
    <t>Zhang (2016)</t>
  </si>
  <si>
    <t>P450119T213M</t>
  </si>
  <si>
    <t>83.5 (1S,2R)</t>
  </si>
  <si>
    <t>91.1%, o-cresol</t>
  </si>
  <si>
    <t>20 mM Tris-HCl (pH = 7.4) buffer containing 100 mM KCl</t>
  </si>
  <si>
    <t>5 mM, 0.1 mM</t>
  </si>
  <si>
    <t>NADPH, 
perfluorinated carboxylic acid as a decoy molecule, DMSO</t>
  </si>
  <si>
    <t>P450 BM3</t>
  </si>
  <si>
    <t>87.2%, o-cresol</t>
  </si>
  <si>
    <t>anisole</t>
  </si>
  <si>
    <t>Shoji (2013)</t>
  </si>
  <si>
    <t>CiVCPO</t>
  </si>
  <si>
    <t>KBr</t>
  </si>
  <si>
    <t>160 mM</t>
  </si>
  <si>
    <t>Dong (2017)</t>
  </si>
  <si>
    <t> 3-chloropropene</t>
  </si>
  <si>
    <t>0.1 M aqueous phosphate buffer at room temperature, pH 5.5</t>
  </si>
  <si>
    <t>93.9, R</t>
  </si>
  <si>
    <t>Wu (2010)</t>
  </si>
  <si>
    <t>CPO</t>
  </si>
  <si>
    <t xml:space="preserve"> Im-C6-Phe</t>
  </si>
  <si>
    <t>2 mM</t>
  </si>
  <si>
    <t xml:space="preserve">reductase, ferredoxin and different
amounts of the coupling protein  homologue IsoD </t>
  </si>
  <si>
    <t xml:space="preserve">VG-N-A400 </t>
  </si>
  <si>
    <t>[Mn(TCPP-R*)C]</t>
  </si>
  <si>
    <t>phosphate, pH 7</t>
  </si>
  <si>
    <t>González-Benjumea (2021)</t>
  </si>
  <si>
    <t>octadeca-6,9,12,15-tetraenoic acid</t>
  </si>
  <si>
    <t>docosa-7,10,13,16-tetraenoic acid</t>
  </si>
  <si>
    <t>95% (5% is hydroxylation)</t>
  </si>
  <si>
    <t>CglUPO</t>
  </si>
  <si>
    <t xml:space="preserve"> acetone</t>
  </si>
  <si>
    <t>1-tetradecene</t>
  </si>
  <si>
    <t>72% (26% hydroxylation, 2% both)</t>
  </si>
  <si>
    <t>Babot (2022)</t>
  </si>
  <si>
    <t>&gt;99% (2R,3S)</t>
  </si>
  <si>
    <t>Nintzel (2021)</t>
  </si>
  <si>
    <t>7745 (neat)</t>
  </si>
  <si>
    <t>50 mM phosphate buffer at pH 7.0</t>
  </si>
  <si>
    <t>2-Pentylcyclopentanone</t>
  </si>
  <si>
    <t>2-Methylcyclopentanone</t>
  </si>
  <si>
    <t>4.70, 1 atm</t>
  </si>
  <si>
    <t>(R-binap)Pt(2-van)</t>
  </si>
  <si>
    <t>4.74, 1 atm</t>
  </si>
  <si>
    <t>Gusso (1994)</t>
  </si>
  <si>
    <t>2-(2,4-Cyclohexadien-1-yl)cyclohexanone</t>
  </si>
  <si>
    <t>p-nitro-substituted copper complex</t>
  </si>
  <si>
    <t>water saturated benzene</t>
  </si>
  <si>
    <t>Bolm (1994)</t>
  </si>
  <si>
    <t>SDS</t>
  </si>
  <si>
    <t>Cavarzan (2009)</t>
  </si>
  <si>
    <t>Bicyclo[4.2.0]octan-7-one</t>
  </si>
  <si>
    <t>7, &gt;99</t>
  </si>
  <si>
    <t>regioselectivity (nl/al)</t>
  </si>
  <si>
    <t>Xu (2010)</t>
  </si>
  <si>
    <t>chiral phosphoric acid</t>
  </si>
  <si>
    <t>4-Methylcyclohexanone</t>
  </si>
  <si>
    <t>3-Phenylcyclobutanone</t>
  </si>
  <si>
    <t>THF</t>
  </si>
  <si>
    <t>dichloro-bis(benzonitrile)palladium(II)</t>
  </si>
  <si>
    <t>Silver hexafluoroantimonate, analogous terpene derived P,N-ligands</t>
  </si>
  <si>
    <t>25, 13.75</t>
  </si>
  <si>
    <t>Malkov (2008)</t>
  </si>
  <si>
    <t xml:space="preserve">chlorobenzene </t>
  </si>
  <si>
    <t>Watanabe (2004)</t>
  </si>
  <si>
    <t>TritonX114</t>
  </si>
  <si>
    <t>Bicyclo[3.2.0]hepta-1,3-dien-6-one</t>
  </si>
  <si>
    <t>(R,R)-N,N'-bis(3,5-di-tert_x0002_butylsalicylidene)-1,2-cyclohexanediamino-cobalt(II)</t>
  </si>
  <si>
    <t>Bianchini</t>
  </si>
  <si>
    <t>20 mg/ mL</t>
  </si>
  <si>
    <t>EtOAc</t>
  </si>
  <si>
    <t>93, R</t>
  </si>
  <si>
    <t>Zhou (2012)</t>
  </si>
  <si>
    <t>(2S)-2-(4-Chlorophenyl)cyclohexanone</t>
  </si>
  <si>
    <r>
      <t>N,N′-dioxide-Sc(Otf)</t>
    </r>
    <r>
      <rPr>
        <vertAlign val="subscript"/>
        <sz val="11"/>
        <color theme="1"/>
        <rFont val="Calibri"/>
        <family val="2"/>
        <scheme val="minor"/>
      </rPr>
      <t>3</t>
    </r>
  </si>
  <si>
    <t>100, 30 mg/mL</t>
  </si>
  <si>
    <t>(2S)-2-Phenylcyclopentanone</t>
  </si>
  <si>
    <t>Zhou (2014)</t>
  </si>
  <si>
    <t>95 (NL), 90 (AL)</t>
  </si>
  <si>
    <t>Al(Oi Pr)3, 4 Å MS</t>
  </si>
  <si>
    <t>100, 50 mg/mL</t>
  </si>
  <si>
    <t>Wu (2019)</t>
  </si>
  <si>
    <t>(+)-3-Methylcyclohexanone</t>
  </si>
  <si>
    <t>100% AL</t>
  </si>
  <si>
    <t>Zhu (2019)</t>
  </si>
  <si>
    <t>7,7-Dichlorobicyclo[3.2.0]hept-2-en-6-one</t>
  </si>
  <si>
    <t>triiso-propyl-substitutedphosphoricacid</t>
  </si>
  <si>
    <t>92 (NL), 40 (AL)</t>
  </si>
  <si>
    <t>CHCl3</t>
  </si>
  <si>
    <t>N,N’-diisopropylcarbodiimide, 4-dimethylaminopyridine</t>
  </si>
  <si>
    <t>26.25, 0.875</t>
  </si>
  <si>
    <t>peptide-based catalyst</t>
  </si>
  <si>
    <t>Romney (2014)</t>
  </si>
  <si>
    <t>2-methylcyclohexanone</t>
  </si>
  <si>
    <t>Martins (2017)</t>
  </si>
  <si>
    <t>cyclohexanone</t>
  </si>
  <si>
    <t>P,N-type phosphinooxazoline (PHOX) ligands, silver source</t>
  </si>
  <si>
    <t>12, 10</t>
  </si>
  <si>
    <t>Petersen (2011)</t>
  </si>
  <si>
    <t>CHP (cumene
hydroperoxid)</t>
  </si>
  <si>
    <t>BINOL derivatives</t>
  </si>
  <si>
    <t>Frison (2006)</t>
  </si>
  <si>
    <t>Yb(OTf)3</t>
  </si>
  <si>
    <t>pH  7.4  phosphate  buffer  solution</t>
  </si>
  <si>
    <t>Miyake (2002)</t>
  </si>
  <si>
    <t>Optically active diselenides (Se complex)</t>
  </si>
  <si>
    <t>CF3CH2OH/MeOH/H2O(6:3:1)</t>
  </si>
  <si>
    <t>AcONa</t>
  </si>
  <si>
    <t>Murahashi (2002)</t>
  </si>
  <si>
    <t xml:space="preserve">chiral organocatalyst bisflavin </t>
  </si>
  <si>
    <t>Xu (2007)</t>
  </si>
  <si>
    <t>H8-binol-derived phosphoric acids</t>
  </si>
  <si>
    <t>flavinium–cinchona alkaloid dimer (self-assembled ion-pair)</t>
  </si>
  <si>
    <t>Poudel (2016)</t>
  </si>
  <si>
    <t>2-adamantanone</t>
  </si>
  <si>
    <t>Sn-MS</t>
  </si>
  <si>
    <t>8.3 mg/mL</t>
  </si>
  <si>
    <t>Prˇech (2017)</t>
  </si>
  <si>
    <t>DCE</t>
  </si>
  <si>
    <t>benzaldehyde, O2</t>
  </si>
  <si>
    <t>800, 20 mL/min</t>
  </si>
  <si>
    <t>dodecane</t>
  </si>
  <si>
    <t>5 mg/mL</t>
  </si>
  <si>
    <t>Zhang (2018)</t>
  </si>
  <si>
    <t>1,4-dioxane</t>
  </si>
  <si>
    <t>Sn-Beta-100</t>
  </si>
  <si>
    <t>6.25 mg/mL</t>
  </si>
  <si>
    <t>Meng (2018)</t>
  </si>
  <si>
    <t>4‑methyl‑cyclohexanone</t>
  </si>
  <si>
    <t>Turcas (2018)</t>
  </si>
  <si>
    <t>4-Ethylidenecyclohexanone</t>
  </si>
  <si>
    <t>98:2 (E/Z)</t>
  </si>
  <si>
    <t>99:1 (E/Z)</t>
  </si>
  <si>
    <t>4-(Phenylmethylene)cyclohexanone</t>
  </si>
  <si>
    <t>LB medium, 0.1 mM IPTG</t>
  </si>
  <si>
    <t>Ethyl 2-(4-oxocyclohexylidene)acetate</t>
  </si>
  <si>
    <t>4:96  (E/Z)</t>
  </si>
  <si>
    <t>Zhang (2012)</t>
  </si>
  <si>
    <t>2-butanone</t>
  </si>
  <si>
    <t>AcCHMO</t>
  </si>
  <si>
    <t>AcCHMO  T56S</t>
  </si>
  <si>
    <t>NADPH, PTDH (NADPH regeneration enzyme)
phosphite-dehydrogenase</t>
  </si>
  <si>
    <t>0.15, 0.002</t>
  </si>
  <si>
    <t>50 mM Tris-HCl at pH 7.0, and 20 mM phosphite.</t>
  </si>
  <si>
    <t>Mpr/Eac=24/76</t>
  </si>
  <si>
    <t>BVMO4 Y499F</t>
  </si>
  <si>
    <t>50 mM sodium phosphate buffer (pH 8.0, 1% NaCl)</t>
  </si>
  <si>
    <t>d-glucose monohydrate</t>
  </si>
  <si>
    <t>5 g cwc L-1  (cell)</t>
  </si>
  <si>
    <t>cell</t>
  </si>
  <si>
    <t xml:space="preserve">CHMOAcineto </t>
  </si>
  <si>
    <t>Bisagni (2017)</t>
  </si>
  <si>
    <t>Beek (2017)</t>
  </si>
  <si>
    <t>Schmidt (2015)</t>
  </si>
  <si>
    <t>CHMOAcineto  DS3</t>
  </si>
  <si>
    <t>4-Methyl-cyclohexanone</t>
  </si>
  <si>
    <t>CAMO</t>
  </si>
  <si>
    <t>cell OD600=30.</t>
  </si>
  <si>
    <t>Glucose</t>
  </si>
  <si>
    <t xml:space="preserve"> Tris–HCl (50 mM, pH 8.0)</t>
  </si>
  <si>
    <t>Leipold (2012)</t>
  </si>
  <si>
    <t>TmCHMO</t>
  </si>
  <si>
    <t>3,3,5-trimethylcyclohexanone</t>
  </si>
  <si>
    <t>NADP+, GDH, Glucose</t>
  </si>
  <si>
    <t>0.25,  0.1 mg/mL, 375</t>
  </si>
  <si>
    <t xml:space="preserve">5% v v−1 </t>
  </si>
  <si>
    <t>40:60</t>
  </si>
  <si>
    <t>10% v v−1 methanol in phosphate buffer at 25 mM at pH 8.0. T</t>
  </si>
  <si>
    <t>30 mL/min</t>
  </si>
  <si>
    <t>Delgove (2018)</t>
  </si>
  <si>
    <t>CmBVMO</t>
  </si>
  <si>
    <t>2/3/4-octanone</t>
  </si>
  <si>
    <t>0.1-2</t>
  </si>
  <si>
    <t>100% NL</t>
  </si>
  <si>
    <t>50 mM Tris–HCl (pH 7.5) , 5% dioxane</t>
  </si>
  <si>
    <t>NADP+, PTDH, phosphite</t>
  </si>
  <si>
    <t>0.1,  0.003, 10</t>
  </si>
  <si>
    <t>Beneventi (2013)</t>
  </si>
  <si>
    <t>(1R,5S)-Bicyclo[3.2.0]hept-2-en-6-one</t>
  </si>
  <si>
    <t>PpBVMO  Y160H</t>
  </si>
  <si>
    <t>95:5 (NL/AL)</t>
  </si>
  <si>
    <t>CDMO</t>
  </si>
  <si>
    <t xml:space="preserve"> Rehdorf (2010)</t>
  </si>
  <si>
    <t>Tris-HCl(100mm,pH8.0), 10% 1,6-hexanediol</t>
  </si>
  <si>
    <t>NADP+, TeSADH</t>
  </si>
  <si>
    <t>1, 0.0001</t>
  </si>
  <si>
    <t>Bornadel (2015)</t>
  </si>
  <si>
    <t>PokeMO</t>
  </si>
  <si>
    <t>sodium phosphite, NADPH</t>
  </si>
  <si>
    <t>10, 0.1</t>
  </si>
  <si>
    <t>50 mM Tris/HCl pH 9.0 buffer, 10% dioxane</t>
  </si>
  <si>
    <t>Fürst (2017)</t>
  </si>
  <si>
    <t>deep eutectic solvents</t>
  </si>
  <si>
    <t>Wang (2017)</t>
  </si>
  <si>
    <t>octanoic acid</t>
  </si>
  <si>
    <t>6% v/v</t>
  </si>
  <si>
    <t>Mazur (2022)</t>
  </si>
  <si>
    <t>2-[(4-Methylphenyl)methyl]cyclopentanone</t>
  </si>
  <si>
    <t>ethyl acetate</t>
  </si>
  <si>
    <t>0.5 g</t>
  </si>
  <si>
    <t>Szelwicka (2019)</t>
  </si>
  <si>
    <t xml:space="preserve"> toluene</t>
  </si>
  <si>
    <t>0.04 g/mL</t>
  </si>
  <si>
    <t>Markiton (2016)</t>
  </si>
  <si>
    <t>CALB-MWCNTs</t>
  </si>
  <si>
    <t>CYP2A</t>
  </si>
  <si>
    <t>Strohmaier (2019)</t>
  </si>
  <si>
    <t>[Mn(Rpeb)(OTf)2]</t>
  </si>
  <si>
    <t>Tian (2021)</t>
  </si>
  <si>
    <t>cis-stilbene</t>
  </si>
  <si>
    <t>[NiII(L9)Cl]</t>
  </si>
  <si>
    <t>Nesterov (2021)</t>
  </si>
  <si>
    <t>50 mg/ g mL-1</t>
  </si>
  <si>
    <t>Zhang (2019)</t>
  </si>
  <si>
    <t>Negoi (2018)</t>
  </si>
  <si>
    <t>Sn–Y zeolite</t>
  </si>
  <si>
    <t>Type 3: Baeyer-Villiger oxidation reactions</t>
  </si>
  <si>
    <t>Type 2: Epoxidation reactions</t>
  </si>
  <si>
    <t>Type 1: Hydroxylation reactions</t>
  </si>
  <si>
    <t>Entry</t>
  </si>
  <si>
    <t>Catalyst</t>
  </si>
  <si>
    <t>Substrate</t>
  </si>
  <si>
    <t>Substrate loading (mM)</t>
  </si>
  <si>
    <t>Productivity (mM/h)</t>
  </si>
  <si>
    <t>Catalyst loading (mM)</t>
  </si>
  <si>
    <t>TOF</t>
  </si>
  <si>
    <t>TON</t>
  </si>
  <si>
    <t>selectivity (%)_desired product/side products</t>
  </si>
  <si>
    <t>Reaction temprature (oC)</t>
  </si>
  <si>
    <t>Oxidant</t>
  </si>
  <si>
    <t>Solvent</t>
  </si>
  <si>
    <t>Oxidant conc. (mM)</t>
  </si>
  <si>
    <t>Oxidant/substrate</t>
  </si>
  <si>
    <t>Additive</t>
  </si>
  <si>
    <t>Additive (mM)</t>
  </si>
  <si>
    <t>5-25</t>
  </si>
  <si>
    <t>Ref (details in main text)</t>
  </si>
  <si>
    <t>10 atm, PCA=0.4 mM</t>
  </si>
  <si>
    <t>8 atm, PCA=0.4 mM</t>
  </si>
  <si>
    <t>1 atm, PCA=0.4 mM</t>
  </si>
  <si>
    <t>Dudzik (2013)</t>
  </si>
  <si>
    <t>alpha-pinene</t>
  </si>
  <si>
    <t>1,1-dimethylindan</t>
  </si>
  <si>
    <t>CALB</t>
  </si>
  <si>
    <t>CALB S105A</t>
  </si>
  <si>
    <t>cyclohexyl methyl ketone</t>
  </si>
  <si>
    <t>cyclopentadecanone</t>
  </si>
  <si>
    <t>2-hexylcyclopentanone</t>
  </si>
  <si>
    <t>4-phenylcyclohexanone</t>
  </si>
  <si>
    <t>cyclobutanone</t>
  </si>
  <si>
    <t>2-benzylcyclopentanone</t>
  </si>
  <si>
    <r>
      <t>CDCl</t>
    </r>
    <r>
      <rPr>
        <vertAlign val="subscript"/>
        <sz val="11"/>
        <color theme="1"/>
        <rFont val="Calibri"/>
        <family val="2"/>
        <scheme val="minor"/>
      </rPr>
      <t>3</t>
    </r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</si>
  <si>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</si>
  <si>
    <r>
      <t>CHCl</t>
    </r>
    <r>
      <rPr>
        <vertAlign val="subscript"/>
        <sz val="11"/>
        <color theme="1"/>
        <rFont val="Calibri"/>
        <family val="2"/>
        <scheme val="minor"/>
      </rPr>
      <t>3</t>
    </r>
  </si>
  <si>
    <r>
      <t>CH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Cl</t>
    </r>
    <r>
      <rPr>
        <vertAlign val="subscript"/>
        <sz val="11"/>
        <color theme="1"/>
        <rFont val="Calibri"/>
        <family val="2"/>
        <scheme val="minor"/>
      </rPr>
      <t>2</t>
    </r>
  </si>
  <si>
    <t>99, (1S,2S)</t>
  </si>
  <si>
    <r>
      <t>0.5-0.8 gCDW L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</si>
  <si>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YCu(dmgH)</t>
    </r>
    <r>
      <rPr>
        <vertAlign val="subscript"/>
        <sz val="11"/>
        <color theme="1"/>
        <rFont val="Calibri"/>
        <family val="2"/>
        <scheme val="minor"/>
      </rPr>
      <t>2</t>
    </r>
  </si>
  <si>
    <r>
      <t>CH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Cl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</si>
  <si>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sz val="11"/>
        <color theme="1"/>
        <rFont val="Calibri"/>
        <family val="2"/>
        <scheme val="minor"/>
      </rPr>
      <t>-tert-butylcarboxy-</t>
    </r>
    <r>
      <rPr>
        <i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-proline </t>
    </r>
  </si>
  <si>
    <r>
      <t>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CN</t>
    </r>
  </si>
  <si>
    <r>
      <t>Fe Complex l-Fe</t>
    </r>
    <r>
      <rPr>
        <vertAlign val="superscript"/>
        <sz val="11"/>
        <color theme="1"/>
        <rFont val="Calibri"/>
        <family val="2"/>
        <scheme val="minor"/>
      </rPr>
      <t>lll</t>
    </r>
    <r>
      <rPr>
        <sz val="11"/>
        <color theme="1"/>
        <rFont val="Calibri"/>
        <family val="2"/>
        <scheme val="minor"/>
      </rPr>
      <t>Cl</t>
    </r>
  </si>
  <si>
    <r>
      <t>CH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(wo 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</si>
  <si>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Mn</t>
    </r>
    <r>
      <rPr>
        <vertAlign val="superscript"/>
        <sz val="11"/>
        <color theme="1"/>
        <rFont val="Calibri"/>
        <family val="2"/>
        <scheme val="minor"/>
      </rPr>
      <t>II</t>
    </r>
    <r>
      <rPr>
        <sz val="11"/>
        <color theme="1"/>
        <rFont val="Calibri"/>
        <family val="2"/>
        <scheme val="minor"/>
      </rPr>
      <t xml:space="preserve"> aminopyridine complexes</t>
    </r>
  </si>
  <si>
    <r>
      <t xml:space="preserve">bipyrrolidine derived </t>
    </r>
    <r>
      <rPr>
        <sz val="11"/>
        <color theme="1"/>
        <rFont val="Calibri"/>
        <family val="2"/>
        <scheme val="minor"/>
      </rPr>
      <t>Mn</t>
    </r>
    <r>
      <rPr>
        <vertAlign val="superscript"/>
        <sz val="11"/>
        <color theme="1"/>
        <rFont val="Calibri"/>
        <family val="2"/>
        <scheme val="minor"/>
      </rPr>
      <t>II</t>
    </r>
    <r>
      <rPr>
        <sz val="11"/>
        <color rgb="FF1C1D1E"/>
        <rFont val="Calibri"/>
        <family val="2"/>
        <scheme val="minor"/>
      </rPr>
      <t xml:space="preserve"> complexes</t>
    </r>
  </si>
  <si>
    <r>
      <t>[Ru</t>
    </r>
    <r>
      <rPr>
        <vertAlign val="superscript"/>
        <sz val="11"/>
        <color theme="1"/>
        <rFont val="Calibri"/>
        <family val="2"/>
        <scheme val="minor"/>
      </rPr>
      <t>II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4-Por∗)(CO)(MeOH)]</t>
    </r>
  </si>
  <si>
    <r>
      <t>Mn HaltS-H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-imidazole system</t>
    </r>
  </si>
  <si>
    <r>
      <t>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OH/H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(5/1), under argon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</si>
  <si>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O(pb)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(ClO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4</t>
    </r>
  </si>
  <si>
    <r>
      <t>Fe</t>
    </r>
    <r>
      <rPr>
        <vertAlign val="superscript"/>
        <sz val="11"/>
        <color theme="1"/>
        <rFont val="Calibri"/>
        <family val="2"/>
        <scheme val="minor"/>
      </rPr>
      <t>III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(O)(L)(OBz)](ClO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</si>
  <si>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r>
      <t>CH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CN</t>
    </r>
  </si>
  <si>
    <r>
      <t>Ni</t>
    </r>
    <r>
      <rPr>
        <vertAlign val="superscript"/>
        <sz val="11"/>
        <color theme="1"/>
        <rFont val="Calibri"/>
        <family val="2"/>
        <scheme val="minor"/>
      </rPr>
      <t>II</t>
    </r>
    <r>
      <rPr>
        <sz val="11"/>
        <color theme="1"/>
        <rFont val="Calibri"/>
        <family val="2"/>
        <scheme val="minor"/>
      </rPr>
      <t>(L1H)(OAc)(H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O)]BPh</t>
    </r>
    <r>
      <rPr>
        <vertAlign val="subscript"/>
        <sz val="11"/>
        <color theme="1"/>
        <rFont val="Calibri"/>
        <family val="2"/>
        <scheme val="minor"/>
      </rPr>
      <t>4</t>
    </r>
  </si>
  <si>
    <r>
      <t>CH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CN  (3:1)</t>
    </r>
  </si>
  <si>
    <r>
      <t>Ni(PA)(L3)(CH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CN)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](BPh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</si>
  <si>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r>
      <t>[Co</t>
    </r>
    <r>
      <rPr>
        <vertAlign val="superscript"/>
        <sz val="11"/>
        <color theme="1"/>
        <rFont val="Calibri"/>
        <family val="2"/>
        <scheme val="minor"/>
      </rPr>
      <t>III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Fe</t>
    </r>
    <r>
      <rPr>
        <vertAlign val="superscript"/>
        <sz val="11"/>
        <color theme="1"/>
        <rFont val="Calibri"/>
        <family val="2"/>
        <scheme val="minor"/>
      </rPr>
      <t>III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O(L</t>
    </r>
    <r>
      <rPr>
        <vertAlign val="super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] 4DMF*H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</si>
  <si>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HNO</t>
    </r>
    <r>
      <rPr>
        <sz val="10"/>
        <color rgb="FF000000"/>
        <rFont val="Calibri"/>
        <family val="2"/>
        <scheme val="minor"/>
      </rPr>
      <t>3</t>
    </r>
  </si>
  <si>
    <r>
      <t>[{V</t>
    </r>
    <r>
      <rPr>
        <vertAlign val="super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O(OEt)(EtOH)}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L</t>
    </r>
    <r>
      <rPr>
        <vertAlign val="superscript"/>
        <sz val="11"/>
        <color theme="1"/>
        <rFont val="Calibri"/>
        <family val="2"/>
        <scheme val="minor"/>
      </rPr>
      <t>1e</t>
    </r>
  </si>
  <si>
    <r>
      <rPr>
        <i/>
        <sz val="11"/>
        <color theme="1"/>
        <rFont val="Calibri"/>
        <family val="2"/>
        <scheme val="minor"/>
      </rPr>
      <t>Aae</t>
    </r>
    <r>
      <rPr>
        <sz val="11"/>
        <color theme="1"/>
        <rFont val="Calibri"/>
        <family val="2"/>
        <scheme val="minor"/>
      </rPr>
      <t>UPO PaDa-l</t>
    </r>
  </si>
  <si>
    <r>
      <rPr>
        <i/>
        <sz val="11"/>
        <color theme="1"/>
        <rFont val="Calibri"/>
        <family val="2"/>
        <scheme val="minor"/>
      </rPr>
      <t>imm-Aae</t>
    </r>
    <r>
      <rPr>
        <sz val="11"/>
        <color theme="1"/>
        <rFont val="Calibri"/>
        <family val="2"/>
        <scheme val="minor"/>
      </rPr>
      <t>UPO PaDa-l</t>
    </r>
  </si>
  <si>
    <r>
      <rPr>
        <i/>
        <sz val="11"/>
        <color theme="1"/>
        <rFont val="Calibri"/>
        <family val="2"/>
        <scheme val="minor"/>
      </rPr>
      <t>Ps</t>
    </r>
    <r>
      <rPr>
        <sz val="11"/>
        <color theme="1"/>
        <rFont val="Calibri"/>
        <family val="2"/>
        <scheme val="minor"/>
      </rPr>
      <t>VAO</t>
    </r>
  </si>
  <si>
    <r>
      <rPr>
        <i/>
        <sz val="11"/>
        <color theme="1"/>
        <rFont val="Calibri"/>
        <family val="2"/>
        <scheme val="minor"/>
      </rPr>
      <t>cfu</t>
    </r>
    <r>
      <rPr>
        <sz val="11"/>
        <color theme="1"/>
        <rFont val="Calibri"/>
        <family val="2"/>
        <scheme val="minor"/>
      </rPr>
      <t>CPO</t>
    </r>
  </si>
  <si>
    <r>
      <rPr>
        <i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-xylene</t>
    </r>
  </si>
  <si>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-xylene</t>
    </r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</si>
  <si>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-xylene</t>
    </r>
  </si>
  <si>
    <r>
      <t>400 mL DINP+1.2 L YBG11 medium containing 50 mm NaHCO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50 µg mL−1 kanamycin, and 2 mm IPTG</t>
    </r>
  </si>
  <si>
    <r>
      <t>150 µmol m</t>
    </r>
    <r>
      <rPr>
        <sz val="9"/>
        <color rgb="FF1C1D1E"/>
        <rFont val="Calibri"/>
        <family val="2"/>
        <scheme val="minor"/>
      </rPr>
      <t>−2</t>
    </r>
    <r>
      <rPr>
        <sz val="12"/>
        <color rgb="FF1C1D1E"/>
        <rFont val="Calibri"/>
        <family val="2"/>
        <scheme val="minor"/>
      </rPr>
      <t> s</t>
    </r>
    <r>
      <rPr>
        <sz val="9"/>
        <color rgb="FF1C1D1E"/>
        <rFont val="Calibri"/>
        <family val="2"/>
        <scheme val="minor"/>
      </rPr>
      <t>−1</t>
    </r>
  </si>
  <si>
    <r>
      <t>1 mL OMImPF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, 25 mL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O, 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</si>
  <si>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SO</t>
    </r>
    <r>
      <rPr>
        <vertAlign val="subscript"/>
        <sz val="11"/>
        <color theme="1"/>
        <rFont val="Calibri"/>
        <family val="2"/>
        <scheme val="minor"/>
      </rPr>
      <t>4</t>
    </r>
  </si>
  <si>
    <r>
      <t>[Co(L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)Cl](Ph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B)</t>
    </r>
  </si>
  <si>
    <r>
      <t>[Ni(L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)(CH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CN)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](Ph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B)</t>
    </r>
    <r>
      <rPr>
        <vertAlign val="subscript"/>
        <sz val="11"/>
        <color theme="1"/>
        <rFont val="Calibri"/>
        <family val="2"/>
        <scheme val="minor"/>
      </rPr>
      <t>2</t>
    </r>
  </si>
  <si>
    <r>
      <t>[Cu(L</t>
    </r>
    <r>
      <rPr>
        <vertAlign val="super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](ClO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</si>
  <si>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r>
      <t>Fe(ClO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</si>
  <si>
    <r>
      <t>50%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SO</t>
    </r>
    <r>
      <rPr>
        <vertAlign val="subscript"/>
        <sz val="11"/>
        <color theme="1"/>
        <rFont val="Calibri"/>
        <family val="2"/>
        <scheme val="minor"/>
      </rPr>
      <t>4</t>
    </r>
  </si>
  <si>
    <r>
      <t>mTiO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(61)</t>
    </r>
  </si>
  <si>
    <r>
      <t>Pt/TiO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-J</t>
    </r>
  </si>
  <si>
    <r>
      <t>Cu(OH)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/LT-750</t>
    </r>
  </si>
  <si>
    <r>
      <t>V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–Al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</si>
  <si>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[Fe(acac)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]APTES@HMS</t>
    </r>
  </si>
  <si>
    <r>
      <t>[Cu(tmpa)]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/Al-MCM-41</t>
    </r>
  </si>
  <si>
    <r>
      <t>Fe(ClO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xH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</si>
  <si>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rPr>
        <vertAlign val="super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PhIO</t>
    </r>
  </si>
  <si>
    <r>
      <t>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CN 5 mL</t>
    </r>
  </si>
  <si>
    <r>
      <rPr>
        <i/>
        <sz val="11"/>
        <color theme="1"/>
        <rFont val="Calibri"/>
        <family val="2"/>
        <scheme val="minor"/>
      </rPr>
      <t>cis</t>
    </r>
    <r>
      <rPr>
        <sz val="11"/>
        <color theme="1"/>
        <rFont val="Calibri"/>
        <family val="2"/>
        <scheme val="minor"/>
      </rPr>
      <t>-stilbene</t>
    </r>
  </si>
  <si>
    <r>
      <rPr>
        <i/>
        <sz val="11"/>
        <color theme="1"/>
        <rFont val="Calibri"/>
        <family val="2"/>
        <scheme val="minor"/>
      </rPr>
      <t>Se</t>
    </r>
    <r>
      <rPr>
        <sz val="11"/>
        <color theme="1"/>
        <rFont val="Calibri"/>
        <family val="2"/>
        <scheme val="minor"/>
      </rPr>
      <t>StyA</t>
    </r>
  </si>
  <si>
    <r>
      <rPr>
        <i/>
        <sz val="11"/>
        <color theme="1"/>
        <rFont val="Calibri"/>
        <family val="2"/>
        <scheme val="minor"/>
      </rPr>
      <t>Aa</t>
    </r>
    <r>
      <rPr>
        <sz val="11"/>
        <color theme="1"/>
        <rFont val="Calibri"/>
        <family val="2"/>
        <scheme val="minor"/>
      </rPr>
      <t>StyA</t>
    </r>
  </si>
  <si>
    <r>
      <rPr>
        <i/>
        <sz val="11"/>
        <color theme="1"/>
        <rFont val="Calibri"/>
        <family val="2"/>
        <scheme val="minor"/>
      </rPr>
      <t>Pb</t>
    </r>
    <r>
      <rPr>
        <sz val="11"/>
        <color theme="1"/>
        <rFont val="Calibri"/>
        <family val="2"/>
        <scheme val="minor"/>
      </rPr>
      <t>StyA</t>
    </r>
  </si>
  <si>
    <r>
      <t>NAD</t>
    </r>
    <r>
      <rPr>
        <vertAlign val="superscript"/>
        <sz val="12"/>
        <color rgb="FF1C1D1E"/>
        <rFont val="Calibri"/>
        <family val="2"/>
        <scheme val="minor"/>
      </rPr>
      <t>+</t>
    </r>
    <r>
      <rPr>
        <sz val="12"/>
        <color rgb="FF1C1D1E"/>
        <rFont val="Calibri"/>
        <family val="2"/>
        <scheme val="minor"/>
      </rPr>
      <t>, HCOONa, FAD, catalase</t>
    </r>
  </si>
  <si>
    <r>
      <rPr>
        <i/>
        <sz val="11"/>
        <color theme="1"/>
        <rFont val="Calibri"/>
        <family val="2"/>
        <scheme val="minor"/>
      </rPr>
      <t>Rh</t>
    </r>
    <r>
      <rPr>
        <sz val="11"/>
        <color theme="1"/>
        <rFont val="Calibri"/>
        <family val="2"/>
        <scheme val="minor"/>
      </rPr>
      <t xml:space="preserve">SMO, </t>
    </r>
    <r>
      <rPr>
        <i/>
        <sz val="11"/>
        <color theme="1"/>
        <rFont val="Calibri"/>
        <family val="2"/>
        <scheme val="minor"/>
      </rPr>
      <t>LS</t>
    </r>
    <r>
      <rPr>
        <sz val="11"/>
        <color theme="1"/>
        <rFont val="Calibri"/>
        <family val="2"/>
        <scheme val="minor"/>
      </rPr>
      <t>ADH</t>
    </r>
  </si>
  <si>
    <r>
      <t>NAD</t>
    </r>
    <r>
      <rPr>
        <vertAlign val="superscript"/>
        <sz val="12"/>
        <color rgb="FF1C1D1E"/>
        <rFont val="Calibri"/>
        <family val="2"/>
        <scheme val="minor"/>
      </rPr>
      <t>+</t>
    </r>
    <r>
      <rPr>
        <sz val="12"/>
        <color rgb="FF1C1D1E"/>
        <rFont val="Calibri"/>
        <family val="2"/>
        <scheme val="minor"/>
      </rPr>
      <t xml:space="preserve">, FAD, 2-propanol 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</si>
  <si>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</si>
  <si>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r>
      <rPr>
        <i/>
        <sz val="11"/>
        <color theme="1"/>
        <rFont val="Calibri"/>
        <family val="2"/>
        <scheme val="minor"/>
      </rPr>
      <t>Aae</t>
    </r>
    <r>
      <rPr>
        <sz val="11"/>
        <color theme="1"/>
        <rFont val="Calibri"/>
        <family val="2"/>
        <scheme val="minor"/>
      </rPr>
      <t>UPO</t>
    </r>
  </si>
  <si>
    <r>
      <rPr>
        <i/>
        <sz val="11"/>
        <color theme="1"/>
        <rFont val="Calibri"/>
        <family val="2"/>
        <scheme val="minor"/>
      </rPr>
      <t>Cvi</t>
    </r>
    <r>
      <rPr>
        <sz val="11"/>
        <color theme="1"/>
        <rFont val="Calibri"/>
        <family val="2"/>
        <scheme val="minor"/>
      </rPr>
      <t>UPO T158F</t>
    </r>
  </si>
  <si>
    <r>
      <t>imm-</t>
    </r>
    <r>
      <rPr>
        <i/>
        <sz val="11"/>
        <color theme="1"/>
        <rFont val="Calibri"/>
        <family val="2"/>
        <scheme val="minor"/>
      </rPr>
      <t>Aae</t>
    </r>
    <r>
      <rPr>
        <sz val="11"/>
        <color theme="1"/>
        <rFont val="Calibri"/>
        <family val="2"/>
        <scheme val="minor"/>
      </rPr>
      <t>UPO</t>
    </r>
  </si>
  <si>
    <r>
      <t>cis</t>
    </r>
    <r>
      <rPr>
        <sz val="12"/>
        <color theme="1"/>
        <rFont val="Calibri"/>
        <family val="2"/>
        <scheme val="minor"/>
      </rPr>
      <t>-β-methylstyrene</t>
    </r>
  </si>
  <si>
    <r>
      <t>HClO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, N</t>
    </r>
    <r>
      <rPr>
        <vertAlign val="subscript"/>
        <sz val="11"/>
        <color theme="1"/>
        <rFont val="Calibri"/>
        <family val="2"/>
        <scheme val="minor"/>
      </rPr>
      <t>2</t>
    </r>
  </si>
  <si>
    <r>
      <t xml:space="preserve"> aldehyde,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</si>
  <si>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 xml:space="preserve">200, 100 </t>
    </r>
    <r>
      <rPr>
        <sz val="11"/>
        <color theme="1"/>
        <rFont val="Calibri"/>
        <family val="2"/>
        <scheme val="minor"/>
      </rPr>
      <t>µL/2.5 mL</t>
    </r>
  </si>
  <si>
    <r>
      <t>ReCl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{N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C(O)Ph}(Hpz)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(PPh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)]</t>
    </r>
  </si>
  <si>
    <r>
      <t>mSiO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-500</t>
    </r>
  </si>
  <si>
    <r>
      <t>(R)-(-)-Fe</t>
    </r>
    <r>
      <rPr>
        <vertAlign val="superscript"/>
        <sz val="11"/>
        <color theme="1"/>
        <rFont val="Calibri"/>
        <family val="2"/>
        <scheme val="minor"/>
      </rPr>
      <t>IV</t>
    </r>
    <r>
      <rPr>
        <sz val="11"/>
        <color theme="1"/>
        <rFont val="Calibri"/>
        <family val="2"/>
        <scheme val="minor"/>
      </rPr>
      <t>(asN4Py)(O)]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 xml:space="preserve"> complexes</t>
    </r>
  </si>
  <si>
    <r>
      <t>Pt</t>
    </r>
    <r>
      <rPr>
        <vertAlign val="superscript"/>
        <sz val="11"/>
        <color theme="1"/>
        <rFont val="Calibri"/>
        <family val="2"/>
        <scheme val="minor"/>
      </rPr>
      <t>II</t>
    </r>
    <r>
      <rPr>
        <sz val="11"/>
        <color theme="1"/>
        <rFont val="Calibri"/>
        <family val="2"/>
        <scheme val="minor"/>
      </rPr>
      <t xml:space="preserve"> complexe</t>
    </r>
  </si>
  <si>
    <r>
      <t>4-</t>
    </r>
    <r>
      <rPr>
        <i/>
        <sz val="11"/>
        <color rgb="FF262626"/>
        <rFont val="Calibri"/>
        <family val="2"/>
        <scheme val="minor"/>
      </rPr>
      <t>tert</t>
    </r>
    <r>
      <rPr>
        <sz val="11"/>
        <color rgb="FF262626"/>
        <rFont val="Calibri"/>
        <family val="2"/>
        <scheme val="minor"/>
      </rPr>
      <t>-Butylcyclohexanone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</si>
  <si>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</si>
  <si>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UHP (urea.H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adduct)</t>
    </r>
  </si>
  <si>
    <r>
      <t>Al(O</t>
    </r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Pr)</t>
    </r>
    <r>
      <rPr>
        <vertAlign val="subscript"/>
        <sz val="11"/>
        <color theme="1"/>
        <rFont val="Calibri"/>
        <family val="2"/>
        <scheme val="minor"/>
      </rPr>
      <t>3</t>
    </r>
  </si>
  <si>
    <r>
      <t>Al(OEt)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MS</t>
    </r>
  </si>
  <si>
    <r>
      <t>N</t>
    </r>
    <r>
      <rPr>
        <sz val="11"/>
        <color rgb="FF262626"/>
        <rFont val="Calibri"/>
        <family val="2"/>
        <scheme val="minor"/>
      </rPr>
      <t>-[(1</t>
    </r>
    <r>
      <rPr>
        <i/>
        <sz val="11"/>
        <color rgb="FF262626"/>
        <rFont val="Calibri"/>
        <family val="2"/>
        <scheme val="minor"/>
      </rPr>
      <t>S</t>
    </r>
    <r>
      <rPr>
        <sz val="11"/>
        <color rgb="FF262626"/>
        <rFont val="Calibri"/>
        <family val="2"/>
        <scheme val="minor"/>
      </rPr>
      <t>)-3-Oxocyclohexyl]benzamide</t>
    </r>
  </si>
  <si>
    <r>
      <t>Pd(CH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CN)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Cl</t>
    </r>
    <r>
      <rPr>
        <vertAlign val="subscript"/>
        <sz val="11"/>
        <color theme="1"/>
        <rFont val="Calibri"/>
        <family val="2"/>
        <scheme val="minor"/>
      </rPr>
      <t xml:space="preserve">2 </t>
    </r>
  </si>
  <si>
    <r>
      <t>Me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AlCl</t>
    </r>
  </si>
  <si>
    <r>
      <t>(DHQ)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PHAL</t>
    </r>
  </si>
  <si>
    <r>
      <rPr>
        <i/>
        <sz val="11"/>
        <color theme="1"/>
        <rFont val="Calibri"/>
        <family val="2"/>
        <scheme val="minor"/>
      </rPr>
      <t>Ac</t>
    </r>
    <r>
      <rPr>
        <sz val="11"/>
        <color theme="1"/>
        <rFont val="Calibri"/>
        <family val="2"/>
        <scheme val="minor"/>
      </rPr>
      <t>CHMO (from Acinetobactersp. NCIMB 9871)</t>
    </r>
  </si>
  <si>
    <r>
      <t>(2</t>
    </r>
    <r>
      <rPr>
        <i/>
        <sz val="11"/>
        <color rgb="FF262626"/>
        <rFont val="Calibri"/>
        <family val="2"/>
        <scheme val="minor"/>
      </rPr>
      <t>R</t>
    </r>
    <r>
      <rPr>
        <sz val="11"/>
        <color rgb="FF262626"/>
        <rFont val="Calibri"/>
        <family val="2"/>
        <scheme val="minor"/>
      </rPr>
      <t>,3</t>
    </r>
    <r>
      <rPr>
        <i/>
        <sz val="11"/>
        <color rgb="FF262626"/>
        <rFont val="Calibri"/>
        <family val="2"/>
        <scheme val="minor"/>
      </rPr>
      <t>R</t>
    </r>
    <r>
      <rPr>
        <sz val="11"/>
        <color rgb="FF262626"/>
        <rFont val="Calibri"/>
        <family val="2"/>
        <scheme val="minor"/>
      </rPr>
      <t>)-3-Methyl-2-pentylcyclopentanone</t>
    </r>
  </si>
  <si>
    <r>
      <t>CALB-Nanocyl</t>
    </r>
    <r>
      <rPr>
        <vertAlign val="super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NC7000 MWCNT</t>
    </r>
  </si>
  <si>
    <t>testosterone</t>
  </si>
  <si>
    <r>
      <t>(</t>
    </r>
    <r>
      <rPr>
        <i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)-chalcone</t>
    </r>
  </si>
  <si>
    <r>
      <rPr>
        <i/>
        <sz val="11"/>
        <color theme="1"/>
        <rFont val="Calibri"/>
        <family val="2"/>
        <scheme val="minor"/>
      </rPr>
      <t>m</t>
    </r>
    <r>
      <rPr>
        <sz val="12"/>
        <color theme="1"/>
        <rFont val="Calibri"/>
        <family val="2"/>
        <scheme val="minor"/>
      </rPr>
      <t>-Me styrene</t>
    </r>
  </si>
  <si>
    <r>
      <rPr>
        <i/>
        <sz val="11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>-Br styrene</t>
    </r>
  </si>
  <si>
    <r>
      <rPr>
        <i/>
        <sz val="11"/>
        <color theme="1"/>
        <rFont val="Calibri"/>
        <family val="2"/>
        <scheme val="minor"/>
      </rPr>
      <t>cis</t>
    </r>
    <r>
      <rPr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>-methyl styrene</t>
    </r>
  </si>
  <si>
    <r>
      <rPr>
        <i/>
        <sz val="11"/>
        <color theme="1"/>
        <rFont val="Calibri"/>
        <family val="2"/>
        <scheme val="minor"/>
      </rPr>
      <t>cis</t>
    </r>
    <r>
      <rPr>
        <sz val="11"/>
        <color theme="1"/>
        <rFont val="Calibri"/>
        <family val="2"/>
        <scheme val="minor"/>
      </rPr>
      <t>-4-methoxy-</t>
    </r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>-methylstyrene</t>
    </r>
  </si>
  <si>
    <r>
      <rPr>
        <i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-fluorostyrenes</t>
    </r>
  </si>
  <si>
    <r>
      <rPr>
        <i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-chlorostyrenes</t>
    </r>
  </si>
  <si>
    <r>
      <t>Zr(salen)(OPh)</t>
    </r>
    <r>
      <rPr>
        <vertAlign val="subscript"/>
        <sz val="11"/>
        <color theme="1"/>
        <rFont val="Calibri"/>
        <family val="2"/>
        <scheme val="minor"/>
      </rPr>
      <t>2</t>
    </r>
  </si>
  <si>
    <r>
      <t>L-RaPr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Bu/Sc(OTf)</t>
    </r>
    <r>
      <rPr>
        <vertAlign val="subscript"/>
        <sz val="11"/>
        <color theme="1"/>
        <rFont val="Calibri"/>
        <family val="2"/>
        <scheme val="minor"/>
      </rPr>
      <t>3</t>
    </r>
  </si>
  <si>
    <r>
      <t>[(R,R-pyrphos)Pt(CF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)(CH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CI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)] BF</t>
    </r>
    <r>
      <rPr>
        <vertAlign val="subscript"/>
        <sz val="11"/>
        <color theme="1"/>
        <rFont val="Calibri"/>
        <family val="2"/>
        <scheme val="minor"/>
      </rPr>
      <t>4</t>
    </r>
  </si>
  <si>
    <r>
      <t>MnO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 NP/g-C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N</t>
    </r>
    <r>
      <rPr>
        <vertAlign val="subscript"/>
        <sz val="11"/>
        <color rgb="FF000000"/>
        <rFont val="Calibri"/>
        <family val="2"/>
        <scheme val="minor"/>
      </rPr>
      <t>4</t>
    </r>
  </si>
  <si>
    <r>
      <t>[(C−N−C)Fe(MeCN)</t>
    </r>
    <r>
      <rPr>
        <vertAlign val="sub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][BPh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]</t>
    </r>
    <r>
      <rPr>
        <vertAlign val="subscript"/>
        <sz val="11"/>
        <color rgb="FF000000"/>
        <rFont val="Calibri"/>
        <family val="2"/>
        <scheme val="minor"/>
      </rPr>
      <t>2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</si>
  <si>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O, 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CN (1:22)</t>
    </r>
  </si>
  <si>
    <r>
      <t>[H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O]=3 M</t>
    </r>
  </si>
  <si>
    <r>
      <t>CH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/BuCN/TFE= 5:5:1</t>
    </r>
  </si>
  <si>
    <r>
      <t>CH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/MeOH (1:1)</t>
    </r>
  </si>
  <si>
    <t>50 mM potassium phosphate buffer pH 7.5</t>
  </si>
  <si>
    <t>50 mM KPB (1 mL, pH 7.5)</t>
  </si>
  <si>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</si>
  <si>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O</t>
    </r>
    <r>
      <rPr>
        <vertAlign val="subscript"/>
        <sz val="11"/>
        <color theme="1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</si>
</sst>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"/>
    <numFmt numFmtId="166" formatCode="0.0000"/>
    <numFmt numFmtId="167" formatCode="0.000"/>
    <numFmt numFmtId="168" formatCode="0.0000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1C1D1E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1C1D1E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sz val="9"/>
      <color indexed="81"/>
      <name val="Tahoma"/>
      <charset val="1"/>
    </font>
    <font>
      <vertAlign val="superscript"/>
      <sz val="11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Tahoma"/>
      <charset val="1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1C1D1E"/>
      <name val="Calibri"/>
      <family val="2"/>
      <scheme val="minor"/>
    </font>
    <font>
      <sz val="9"/>
      <color rgb="FF1C1D1E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rgb="FF1C1D1E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rgb="FF26262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6" xfId="0" applyFont="1" applyBorder="1" applyAlignment="1">
      <alignment horizontal="left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3" xfId="0" applyFont="1" applyBorder="1" applyAlignment="1">
      <alignment horizontal="left"/>
    </xf>
    <xf numFmtId="0" fontId="0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wrapText="1"/>
    </xf>
    <xf numFmtId="2" fontId="0" fillId="0" borderId="6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wrapText="1"/>
    </xf>
    <xf numFmtId="0" fontId="0" fillId="0" borderId="0" xfId="0" applyFont="1" applyAlignment="1">
      <alignment horizontal="left" vertical="center"/>
    </xf>
    <xf numFmtId="167" fontId="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3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0" fillId="0" borderId="4" xfId="0" applyFont="1" applyBorder="1" applyAlignment="1">
      <alignment horizontal="center" vertical="center"/>
    </xf>
    <xf numFmtId="2" fontId="0" fillId="0" borderId="0" xfId="0" applyNumberFormat="1" applyFont="1" applyAlignment="1">
      <alignment horizontal="center" wrapText="1"/>
    </xf>
    <xf numFmtId="10" fontId="0" fillId="0" borderId="0" xfId="0" applyNumberFormat="1" applyFont="1" applyAlignment="1">
      <alignment horizontal="center"/>
    </xf>
    <xf numFmtId="9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 wrapText="1"/>
    </xf>
    <xf numFmtId="164" fontId="0" fillId="0" borderId="6" xfId="0" applyNumberFormat="1" applyFont="1" applyBorder="1" applyAlignment="1">
      <alignment horizontal="center"/>
    </xf>
    <xf numFmtId="1" fontId="0" fillId="0" borderId="6" xfId="0" applyNumberFormat="1" applyFont="1" applyBorder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 wrapText="1"/>
    </xf>
    <xf numFmtId="0" fontId="18" fillId="0" borderId="0" xfId="0" applyFont="1" applyAlignment="1">
      <alignment horizontal="left" vertical="center"/>
    </xf>
    <xf numFmtId="0" fontId="24" fillId="0" borderId="6" xfId="0" applyFont="1" applyBorder="1" applyAlignment="1">
      <alignment horizontal="left"/>
    </xf>
    <xf numFmtId="167" fontId="0" fillId="0" borderId="6" xfId="0" applyNumberFormat="1" applyFont="1" applyBorder="1" applyAlignment="1">
      <alignment horizontal="center"/>
    </xf>
    <xf numFmtId="9" fontId="0" fillId="0" borderId="6" xfId="0" applyNumberFormat="1" applyFont="1" applyBorder="1" applyAlignment="1">
      <alignment horizontal="center"/>
    </xf>
    <xf numFmtId="0" fontId="24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164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center"/>
    </xf>
    <xf numFmtId="0" fontId="25" fillId="0" borderId="0" xfId="0" applyFont="1" applyAlignment="1">
      <alignment horizontal="left"/>
    </xf>
    <xf numFmtId="0" fontId="0" fillId="0" borderId="6" xfId="0" applyFont="1" applyBorder="1" applyAlignment="1">
      <alignment horizontal="left" wrapText="1"/>
    </xf>
    <xf numFmtId="0" fontId="18" fillId="0" borderId="6" xfId="0" applyFont="1" applyBorder="1" applyAlignment="1">
      <alignment horizontal="left"/>
    </xf>
    <xf numFmtId="0" fontId="0" fillId="0" borderId="0" xfId="0" applyFont="1" applyAlignment="1">
      <alignment horizontal="center"/>
    </xf>
    <xf numFmtId="168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FF"/>
      <color rgb="FF99CCFF"/>
      <color rgb="FF6699FF"/>
      <color rgb="FF9999FF"/>
      <color rgb="FF6666FF"/>
      <color rgb="FFFF66FF"/>
      <color rgb="FF00FFFF"/>
      <color rgb="FF0000FF"/>
      <color rgb="FFCC3399"/>
      <color rgb="FF5482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8"/>
  <sheetViews>
    <sheetView tabSelected="1" zoomScale="80" zoomScaleNormal="80" workbookViewId="0">
      <pane ySplit="1" topLeftCell="A2" activePane="bottomLeft" state="frozen"/>
      <selection pane="bottomLeft" activeCell="B4" sqref="B4"/>
    </sheetView>
  </sheetViews>
  <sheetFormatPr defaultColWidth="9.140625" defaultRowHeight="15" x14ac:dyDescent="0.25"/>
  <cols>
    <col min="1" max="1" width="11.42578125" style="44" customWidth="1"/>
    <col min="2" max="2" width="41.42578125" style="20" customWidth="1"/>
    <col min="3" max="3" width="32.42578125" style="20" customWidth="1"/>
    <col min="4" max="4" width="21.7109375" style="21" bestFit="1" customWidth="1"/>
    <col min="5" max="5" width="17.85546875" style="21" customWidth="1"/>
    <col min="6" max="6" width="19.28515625" style="21" bestFit="1" customWidth="1"/>
    <col min="7" max="7" width="13.5703125" style="21" customWidth="1"/>
    <col min="8" max="8" width="12.42578125" style="21" customWidth="1"/>
    <col min="9" max="9" width="10.85546875" style="21" customWidth="1"/>
    <col min="10" max="10" width="20.42578125" style="21" bestFit="1" customWidth="1"/>
    <col min="11" max="11" width="21.140625" style="21" customWidth="1"/>
    <col min="12" max="12" width="11.85546875" style="21" customWidth="1"/>
    <col min="13" max="13" width="39.7109375" style="21" customWidth="1"/>
    <col min="14" max="14" width="14.140625" style="21" customWidth="1"/>
    <col min="15" max="15" width="13.85546875" style="21" bestFit="1" customWidth="1"/>
    <col min="16" max="16" width="10.85546875" style="21" customWidth="1"/>
    <col min="17" max="17" width="42.85546875" style="21" bestFit="1" customWidth="1"/>
    <col min="18" max="18" width="18.7109375" style="21" customWidth="1"/>
    <col min="19" max="19" width="23.42578125" style="21" customWidth="1"/>
    <col min="20" max="20" width="21.140625" style="21" customWidth="1"/>
    <col min="21" max="16384" width="9.140625" style="21"/>
  </cols>
  <sheetData>
    <row r="1" spans="1:19" s="12" customFormat="1" ht="46.5" customHeight="1" x14ac:dyDescent="0.25">
      <c r="A1" s="13" t="s">
        <v>531</v>
      </c>
      <c r="B1" s="7" t="s">
        <v>532</v>
      </c>
      <c r="C1" s="7" t="s">
        <v>533</v>
      </c>
      <c r="D1" s="8" t="s">
        <v>534</v>
      </c>
      <c r="E1" s="8" t="s">
        <v>535</v>
      </c>
      <c r="F1" s="8" t="s">
        <v>536</v>
      </c>
      <c r="G1" s="8" t="s">
        <v>538</v>
      </c>
      <c r="H1" s="8" t="s">
        <v>537</v>
      </c>
      <c r="I1" s="7" t="s">
        <v>12</v>
      </c>
      <c r="J1" s="8" t="s">
        <v>196</v>
      </c>
      <c r="K1" s="8" t="s">
        <v>539</v>
      </c>
      <c r="L1" s="8" t="s">
        <v>540</v>
      </c>
      <c r="M1" s="7" t="s">
        <v>542</v>
      </c>
      <c r="N1" s="7" t="s">
        <v>541</v>
      </c>
      <c r="O1" s="8" t="s">
        <v>543</v>
      </c>
      <c r="P1" s="8" t="s">
        <v>544</v>
      </c>
      <c r="Q1" s="7" t="s">
        <v>545</v>
      </c>
      <c r="R1" s="7" t="s">
        <v>546</v>
      </c>
      <c r="S1" s="6" t="s">
        <v>548</v>
      </c>
    </row>
    <row r="2" spans="1:19" s="1" customFormat="1" ht="33.75" customHeight="1" x14ac:dyDescent="0.25">
      <c r="A2" s="14" t="s">
        <v>530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5"/>
    </row>
    <row r="3" spans="1:19" ht="14.45" customHeight="1" x14ac:dyDescent="0.35">
      <c r="A3" s="19">
        <v>1</v>
      </c>
      <c r="B3" s="20" t="s">
        <v>11</v>
      </c>
      <c r="C3" s="20" t="s">
        <v>10</v>
      </c>
      <c r="D3" s="21">
        <v>500</v>
      </c>
      <c r="E3" s="21">
        <v>200</v>
      </c>
      <c r="F3" s="21">
        <v>0.5</v>
      </c>
      <c r="G3" s="21">
        <f>200/F3</f>
        <v>400</v>
      </c>
      <c r="H3" s="21">
        <f>E3/F3</f>
        <v>400</v>
      </c>
      <c r="I3" s="21" t="s">
        <v>13</v>
      </c>
      <c r="J3" s="21">
        <v>2.2999999999999998</v>
      </c>
      <c r="L3" s="21">
        <v>0</v>
      </c>
      <c r="M3" s="21" t="s">
        <v>570</v>
      </c>
      <c r="N3" s="21" t="s">
        <v>8</v>
      </c>
      <c r="O3" s="21">
        <v>50</v>
      </c>
      <c r="P3" s="21">
        <f>O3/D3</f>
        <v>0.1</v>
      </c>
      <c r="S3" s="22" t="s">
        <v>28</v>
      </c>
    </row>
    <row r="4" spans="1:19" x14ac:dyDescent="0.25">
      <c r="A4" s="19">
        <v>2</v>
      </c>
      <c r="B4" s="20" t="s">
        <v>19</v>
      </c>
      <c r="C4" s="20" t="s">
        <v>10</v>
      </c>
      <c r="D4" s="21">
        <v>500</v>
      </c>
      <c r="E4" s="21">
        <f>450/(40/60)</f>
        <v>675</v>
      </c>
      <c r="F4" s="21">
        <v>1</v>
      </c>
      <c r="G4" s="21">
        <f>450/F4</f>
        <v>450</v>
      </c>
      <c r="H4" s="21">
        <f t="shared" ref="H4:H51" si="0">E4/F4</f>
        <v>675</v>
      </c>
      <c r="I4" s="21" t="s">
        <v>14</v>
      </c>
      <c r="J4" s="21">
        <v>0.6</v>
      </c>
      <c r="L4" s="21">
        <v>-30</v>
      </c>
      <c r="M4" s="21" t="s">
        <v>15</v>
      </c>
      <c r="N4" s="68" t="s">
        <v>0</v>
      </c>
      <c r="O4" s="21" t="s">
        <v>16</v>
      </c>
      <c r="Q4" s="9" t="s">
        <v>571</v>
      </c>
      <c r="R4" s="21">
        <v>250</v>
      </c>
      <c r="S4" s="22" t="s">
        <v>17</v>
      </c>
    </row>
    <row r="5" spans="1:19" ht="18" x14ac:dyDescent="0.35">
      <c r="A5" s="19">
        <v>3</v>
      </c>
      <c r="B5" s="20" t="s">
        <v>26</v>
      </c>
      <c r="C5" s="20" t="s">
        <v>6</v>
      </c>
      <c r="D5" s="21">
        <v>100</v>
      </c>
      <c r="E5" s="21">
        <v>26</v>
      </c>
      <c r="F5" s="21">
        <v>0.5</v>
      </c>
      <c r="G5" s="21">
        <f>26/0.5</f>
        <v>52</v>
      </c>
      <c r="H5" s="21">
        <f t="shared" si="0"/>
        <v>52</v>
      </c>
      <c r="I5" s="21" t="s">
        <v>22</v>
      </c>
      <c r="J5" s="21">
        <v>12</v>
      </c>
      <c r="L5" s="21">
        <v>-35</v>
      </c>
      <c r="M5" s="23" t="s">
        <v>572</v>
      </c>
      <c r="N5" s="21" t="s">
        <v>621</v>
      </c>
      <c r="O5" s="21">
        <v>500</v>
      </c>
      <c r="P5" s="21">
        <f t="shared" ref="P5:P49" si="1">O5/D5</f>
        <v>5</v>
      </c>
      <c r="Q5" s="21" t="s">
        <v>27</v>
      </c>
      <c r="R5" s="21">
        <v>200</v>
      </c>
      <c r="S5" s="22" t="s">
        <v>25</v>
      </c>
    </row>
    <row r="6" spans="1:19" ht="18.75" x14ac:dyDescent="0.35">
      <c r="A6" s="19">
        <v>4</v>
      </c>
      <c r="B6" s="20" t="s">
        <v>573</v>
      </c>
      <c r="C6" s="20" t="s">
        <v>20</v>
      </c>
      <c r="D6" s="21">
        <v>500</v>
      </c>
      <c r="E6" s="21">
        <f>D6*0.47/1</f>
        <v>235</v>
      </c>
      <c r="F6" s="21">
        <v>0.5</v>
      </c>
      <c r="G6" s="21">
        <f>D6*0.47/F6</f>
        <v>470</v>
      </c>
      <c r="H6" s="21">
        <f t="shared" si="0"/>
        <v>470</v>
      </c>
      <c r="I6" s="21" t="s">
        <v>23</v>
      </c>
      <c r="J6" s="21">
        <v>20.2</v>
      </c>
      <c r="L6" s="21">
        <v>0</v>
      </c>
      <c r="M6" s="21" t="s">
        <v>574</v>
      </c>
      <c r="N6" s="21" t="s">
        <v>8</v>
      </c>
      <c r="O6" s="21">
        <v>50</v>
      </c>
      <c r="P6" s="21">
        <f t="shared" si="1"/>
        <v>0.1</v>
      </c>
      <c r="S6" s="22" t="s">
        <v>28</v>
      </c>
    </row>
    <row r="7" spans="1:19" ht="18" x14ac:dyDescent="0.35">
      <c r="A7" s="19">
        <v>5</v>
      </c>
      <c r="B7" s="20" t="s">
        <v>29</v>
      </c>
      <c r="C7" s="20" t="s">
        <v>21</v>
      </c>
      <c r="D7" s="21">
        <f>0.2/1000/(0.2/1000)*1000</f>
        <v>1000</v>
      </c>
      <c r="E7" s="24">
        <f>145/3.5</f>
        <v>41.428571428571431</v>
      </c>
      <c r="F7" s="21">
        <v>0.5</v>
      </c>
      <c r="G7" s="21">
        <f>145/F7</f>
        <v>290</v>
      </c>
      <c r="H7" s="25">
        <f t="shared" si="0"/>
        <v>82.857142857142861</v>
      </c>
      <c r="I7" s="21" t="s">
        <v>24</v>
      </c>
      <c r="J7" s="21">
        <v>1</v>
      </c>
      <c r="L7" s="21">
        <v>0</v>
      </c>
      <c r="M7" s="23" t="s">
        <v>572</v>
      </c>
      <c r="N7" s="21" t="s">
        <v>621</v>
      </c>
      <c r="O7" s="21">
        <v>350</v>
      </c>
      <c r="P7" s="21">
        <f t="shared" si="1"/>
        <v>0.35</v>
      </c>
      <c r="S7" s="22" t="s">
        <v>18</v>
      </c>
    </row>
    <row r="8" spans="1:19" ht="18.75" x14ac:dyDescent="0.35">
      <c r="A8" s="19">
        <v>6</v>
      </c>
      <c r="B8" s="20" t="s">
        <v>575</v>
      </c>
      <c r="C8" s="20" t="s">
        <v>30</v>
      </c>
      <c r="D8" s="21">
        <f>0.2/1000/(0.2/1000)*1000</f>
        <v>1000</v>
      </c>
      <c r="E8" s="24">
        <f>42.5/3.5</f>
        <v>12.142857142857142</v>
      </c>
      <c r="F8" s="21">
        <v>0.5</v>
      </c>
      <c r="G8" s="21">
        <f>42.5/F8</f>
        <v>85</v>
      </c>
      <c r="H8" s="25">
        <f t="shared" si="0"/>
        <v>24.285714285714285</v>
      </c>
      <c r="I8" s="21" t="s">
        <v>31</v>
      </c>
      <c r="J8" s="21">
        <v>0.42</v>
      </c>
      <c r="L8" s="21">
        <v>0</v>
      </c>
      <c r="M8" s="23" t="s">
        <v>572</v>
      </c>
      <c r="N8" s="21" t="s">
        <v>621</v>
      </c>
      <c r="O8" s="21">
        <v>350</v>
      </c>
      <c r="P8" s="21">
        <f t="shared" si="1"/>
        <v>0.35</v>
      </c>
      <c r="S8" s="22" t="s">
        <v>18</v>
      </c>
    </row>
    <row r="9" spans="1:19" ht="18.75" x14ac:dyDescent="0.35">
      <c r="A9" s="19">
        <v>7</v>
      </c>
      <c r="B9" s="10" t="s">
        <v>576</v>
      </c>
      <c r="C9" s="20" t="s">
        <v>30</v>
      </c>
      <c r="D9" s="21">
        <v>500</v>
      </c>
      <c r="E9" s="21">
        <v>780</v>
      </c>
      <c r="F9" s="21">
        <v>1</v>
      </c>
      <c r="G9" s="21">
        <f>500*0.78/F9</f>
        <v>390</v>
      </c>
      <c r="H9" s="21">
        <f t="shared" si="0"/>
        <v>780</v>
      </c>
      <c r="I9" s="21" t="s">
        <v>32</v>
      </c>
      <c r="J9" s="21">
        <v>1.1000000000000001</v>
      </c>
      <c r="L9" s="21">
        <v>-30</v>
      </c>
      <c r="M9" s="21" t="s">
        <v>15</v>
      </c>
      <c r="N9" s="21" t="s">
        <v>621</v>
      </c>
      <c r="O9" s="21" t="s">
        <v>16</v>
      </c>
      <c r="Q9" s="21" t="s">
        <v>34</v>
      </c>
      <c r="R9" s="21">
        <v>120</v>
      </c>
      <c r="S9" s="22" t="s">
        <v>17</v>
      </c>
    </row>
    <row r="10" spans="1:19" ht="17.25" x14ac:dyDescent="0.25">
      <c r="A10" s="19">
        <v>8</v>
      </c>
      <c r="B10" s="20" t="s">
        <v>577</v>
      </c>
      <c r="C10" s="20" t="s">
        <v>30</v>
      </c>
      <c r="D10" s="21">
        <v>100</v>
      </c>
      <c r="E10" s="26">
        <f>D10*0.13/12</f>
        <v>1.0833333333333333</v>
      </c>
      <c r="F10" s="21">
        <v>0.1</v>
      </c>
      <c r="G10" s="21">
        <f>D10*0.13/F10</f>
        <v>130</v>
      </c>
      <c r="H10" s="25">
        <f t="shared" si="0"/>
        <v>10.833333333333332</v>
      </c>
      <c r="I10" s="21" t="s">
        <v>33</v>
      </c>
      <c r="J10" s="21">
        <v>1.68</v>
      </c>
      <c r="L10" s="21" t="s">
        <v>37</v>
      </c>
      <c r="M10" s="21" t="s">
        <v>3</v>
      </c>
      <c r="N10" s="21" t="s">
        <v>35</v>
      </c>
      <c r="O10" s="21">
        <v>110</v>
      </c>
      <c r="P10" s="21">
        <f t="shared" si="1"/>
        <v>1.1000000000000001</v>
      </c>
      <c r="S10" s="22" t="s">
        <v>36</v>
      </c>
    </row>
    <row r="11" spans="1:19" ht="34.5" customHeight="1" x14ac:dyDescent="0.35">
      <c r="A11" s="19">
        <v>9</v>
      </c>
      <c r="B11" s="20" t="s">
        <v>578</v>
      </c>
      <c r="C11" s="20" t="s">
        <v>38</v>
      </c>
      <c r="D11" s="21">
        <v>55</v>
      </c>
      <c r="E11" s="24">
        <f>55*0.97/1</f>
        <v>53.35</v>
      </c>
      <c r="F11" s="21">
        <v>1.35</v>
      </c>
      <c r="G11" s="24">
        <f>55*0.97/F11</f>
        <v>39.518518518518519</v>
      </c>
      <c r="H11" s="25">
        <f t="shared" si="0"/>
        <v>39.518518518518519</v>
      </c>
      <c r="I11" s="21" t="s">
        <v>40</v>
      </c>
      <c r="J11" s="21">
        <v>13.3</v>
      </c>
      <c r="L11" s="21">
        <v>25</v>
      </c>
      <c r="M11" s="23" t="s">
        <v>43</v>
      </c>
      <c r="N11" s="21" t="s">
        <v>621</v>
      </c>
      <c r="O11" s="21">
        <v>275</v>
      </c>
      <c r="P11" s="21">
        <f t="shared" si="1"/>
        <v>5</v>
      </c>
      <c r="Q11" s="11" t="s">
        <v>44</v>
      </c>
      <c r="R11" s="21">
        <v>34.9</v>
      </c>
      <c r="S11" s="22" t="s">
        <v>42</v>
      </c>
    </row>
    <row r="12" spans="1:19" ht="30" customHeight="1" x14ac:dyDescent="0.35">
      <c r="A12" s="19">
        <v>10</v>
      </c>
      <c r="B12" s="10" t="s">
        <v>47</v>
      </c>
      <c r="C12" s="27" t="s">
        <v>39</v>
      </c>
      <c r="D12" s="21">
        <v>833</v>
      </c>
      <c r="E12" s="21">
        <f>D12*0.47/1</f>
        <v>391.51</v>
      </c>
      <c r="F12" s="21">
        <v>0.83</v>
      </c>
      <c r="G12" s="24">
        <f>D12*0.47/7/F12</f>
        <v>67.385542168674704</v>
      </c>
      <c r="H12" s="25">
        <f t="shared" si="0"/>
        <v>471.69879518072293</v>
      </c>
      <c r="I12" s="21" t="s">
        <v>41</v>
      </c>
      <c r="J12" s="21">
        <v>19</v>
      </c>
      <c r="L12" s="21" t="s">
        <v>46</v>
      </c>
      <c r="M12" s="23" t="s">
        <v>579</v>
      </c>
      <c r="N12" s="21" t="s">
        <v>9</v>
      </c>
      <c r="O12" s="21">
        <v>83.3</v>
      </c>
      <c r="P12" s="21">
        <f t="shared" si="1"/>
        <v>9.9999999999999992E-2</v>
      </c>
      <c r="Q12" s="11" t="s">
        <v>44</v>
      </c>
      <c r="R12" s="21">
        <v>8.33</v>
      </c>
      <c r="S12" s="22" t="s">
        <v>45</v>
      </c>
    </row>
    <row r="13" spans="1:19" ht="18.75" customHeight="1" x14ac:dyDescent="0.35">
      <c r="A13" s="19">
        <v>11</v>
      </c>
      <c r="B13" s="20" t="s">
        <v>50</v>
      </c>
      <c r="C13" s="20" t="s">
        <v>48</v>
      </c>
      <c r="D13" s="21">
        <v>343</v>
      </c>
      <c r="E13" s="21">
        <f>360/3</f>
        <v>120</v>
      </c>
      <c r="F13" s="21">
        <v>3.43</v>
      </c>
      <c r="G13" s="25">
        <f>360/F13</f>
        <v>104.95626822157433</v>
      </c>
      <c r="H13" s="25">
        <f t="shared" si="0"/>
        <v>34.985422740524783</v>
      </c>
      <c r="I13" s="21" t="s">
        <v>52</v>
      </c>
      <c r="J13" s="21">
        <v>0.09</v>
      </c>
      <c r="L13" s="21">
        <v>0</v>
      </c>
      <c r="M13" s="23" t="s">
        <v>572</v>
      </c>
      <c r="N13" s="23" t="s">
        <v>51</v>
      </c>
      <c r="O13" s="23">
        <v>1715</v>
      </c>
      <c r="P13" s="21">
        <f t="shared" si="1"/>
        <v>5</v>
      </c>
      <c r="S13" s="22" t="s">
        <v>49</v>
      </c>
    </row>
    <row r="14" spans="1:19" ht="43.5" customHeight="1" x14ac:dyDescent="0.35">
      <c r="A14" s="19">
        <v>12</v>
      </c>
      <c r="B14" s="20" t="s">
        <v>53</v>
      </c>
      <c r="C14" s="20" t="s">
        <v>48</v>
      </c>
      <c r="D14" s="21">
        <v>400</v>
      </c>
      <c r="E14" s="21">
        <v>20.6</v>
      </c>
      <c r="F14" s="21" t="s">
        <v>54</v>
      </c>
      <c r="G14" s="21">
        <v>6234.7</v>
      </c>
      <c r="I14" s="21" t="s">
        <v>46</v>
      </c>
      <c r="J14" s="21">
        <v>0.65</v>
      </c>
      <c r="L14" s="21">
        <v>100</v>
      </c>
      <c r="M14" s="23" t="s">
        <v>572</v>
      </c>
      <c r="N14" s="21" t="s">
        <v>664</v>
      </c>
      <c r="P14" s="21">
        <f t="shared" si="1"/>
        <v>0</v>
      </c>
      <c r="Q14" s="23" t="s">
        <v>55</v>
      </c>
      <c r="R14" s="21">
        <v>60</v>
      </c>
      <c r="S14" s="22" t="s">
        <v>56</v>
      </c>
    </row>
    <row r="15" spans="1:19" ht="43.5" customHeight="1" x14ac:dyDescent="0.35">
      <c r="A15" s="19">
        <v>13</v>
      </c>
      <c r="B15" s="28" t="s">
        <v>58</v>
      </c>
      <c r="C15" s="20" t="s">
        <v>48</v>
      </c>
      <c r="D15" s="21">
        <v>400</v>
      </c>
      <c r="E15" s="21">
        <v>40.5</v>
      </c>
      <c r="F15" s="21" t="s">
        <v>46</v>
      </c>
      <c r="G15" s="21">
        <v>82.26</v>
      </c>
      <c r="I15" s="21" t="s">
        <v>46</v>
      </c>
      <c r="J15" s="21" t="s">
        <v>59</v>
      </c>
      <c r="L15" s="21">
        <v>100</v>
      </c>
      <c r="M15" s="21" t="s">
        <v>60</v>
      </c>
      <c r="N15" s="21" t="s">
        <v>664</v>
      </c>
      <c r="P15" s="21">
        <f t="shared" si="1"/>
        <v>0</v>
      </c>
      <c r="Q15" s="23" t="s">
        <v>55</v>
      </c>
      <c r="R15" s="21">
        <v>60</v>
      </c>
      <c r="S15" s="22" t="s">
        <v>57</v>
      </c>
    </row>
    <row r="16" spans="1:19" ht="18" x14ac:dyDescent="0.35">
      <c r="A16" s="19">
        <v>14</v>
      </c>
      <c r="B16" s="20" t="s">
        <v>569</v>
      </c>
      <c r="C16" s="20" t="s">
        <v>48</v>
      </c>
      <c r="D16" s="21">
        <v>3000</v>
      </c>
      <c r="E16" s="21">
        <v>174</v>
      </c>
      <c r="F16" s="21" t="s">
        <v>61</v>
      </c>
      <c r="G16" s="21">
        <v>1112</v>
      </c>
      <c r="I16" s="21">
        <v>0</v>
      </c>
      <c r="J16" s="21">
        <v>0</v>
      </c>
      <c r="L16" s="21">
        <v>70</v>
      </c>
      <c r="M16" s="21" t="s">
        <v>3</v>
      </c>
      <c r="N16" s="21" t="s">
        <v>621</v>
      </c>
      <c r="O16" s="21">
        <v>6000</v>
      </c>
      <c r="P16" s="21">
        <f t="shared" si="1"/>
        <v>2</v>
      </c>
      <c r="S16" s="22" t="s">
        <v>62</v>
      </c>
    </row>
    <row r="17" spans="1:19" ht="18" x14ac:dyDescent="0.35">
      <c r="A17" s="19">
        <v>15</v>
      </c>
      <c r="B17" s="20" t="s">
        <v>580</v>
      </c>
      <c r="C17" s="20" t="s">
        <v>554</v>
      </c>
      <c r="D17" s="21">
        <v>770</v>
      </c>
      <c r="E17" s="21">
        <f>D17*0.48/0.25</f>
        <v>1478.3999999999999</v>
      </c>
      <c r="F17" s="21">
        <v>0.7</v>
      </c>
      <c r="G17" s="21">
        <f>770*0.48/F17</f>
        <v>528</v>
      </c>
      <c r="H17" s="21">
        <f t="shared" si="0"/>
        <v>2112</v>
      </c>
      <c r="I17" s="21" t="s">
        <v>171</v>
      </c>
      <c r="J17" s="21">
        <v>1.2</v>
      </c>
      <c r="L17" s="21" t="s">
        <v>46</v>
      </c>
      <c r="M17" s="23" t="s">
        <v>572</v>
      </c>
      <c r="N17" s="21" t="s">
        <v>621</v>
      </c>
      <c r="O17" s="21">
        <v>7</v>
      </c>
      <c r="P17" s="26">
        <f t="shared" si="1"/>
        <v>9.0909090909090905E-3</v>
      </c>
      <c r="S17" s="22" t="s">
        <v>170</v>
      </c>
    </row>
    <row r="18" spans="1:19" ht="18.75" x14ac:dyDescent="0.35">
      <c r="A18" s="19">
        <v>16</v>
      </c>
      <c r="B18" s="20" t="s">
        <v>581</v>
      </c>
      <c r="C18" s="18" t="s">
        <v>66</v>
      </c>
      <c r="D18" s="21">
        <v>2500</v>
      </c>
      <c r="E18" s="21">
        <f>F18*G18/0.25</f>
        <v>129.36000000000001</v>
      </c>
      <c r="F18" s="21">
        <v>0.33</v>
      </c>
      <c r="G18" s="21">
        <v>98</v>
      </c>
      <c r="H18" s="21">
        <f t="shared" si="0"/>
        <v>392</v>
      </c>
      <c r="I18" s="21" t="s">
        <v>172</v>
      </c>
      <c r="J18" s="21">
        <v>8.8000000000000007</v>
      </c>
      <c r="L18" s="21" t="s">
        <v>37</v>
      </c>
      <c r="M18" s="23" t="s">
        <v>582</v>
      </c>
      <c r="N18" s="21" t="s">
        <v>173</v>
      </c>
      <c r="O18" s="21">
        <v>240</v>
      </c>
      <c r="P18" s="21">
        <f t="shared" si="1"/>
        <v>9.6000000000000002E-2</v>
      </c>
      <c r="S18" s="22" t="s">
        <v>174</v>
      </c>
    </row>
    <row r="19" spans="1:19" ht="18.75" x14ac:dyDescent="0.35">
      <c r="A19" s="19">
        <v>17</v>
      </c>
      <c r="B19" s="20" t="s">
        <v>583</v>
      </c>
      <c r="C19" s="20" t="s">
        <v>176</v>
      </c>
      <c r="D19" s="21">
        <v>2450</v>
      </c>
      <c r="E19" s="24">
        <f>G19*F19/2</f>
        <v>125.82499999999999</v>
      </c>
      <c r="F19" s="21">
        <v>0.35</v>
      </c>
      <c r="G19" s="21">
        <v>719</v>
      </c>
      <c r="H19" s="21">
        <f t="shared" si="0"/>
        <v>359.5</v>
      </c>
      <c r="J19" s="21">
        <v>7.2</v>
      </c>
      <c r="L19" s="21" t="s">
        <v>37</v>
      </c>
      <c r="M19" s="23" t="s">
        <v>584</v>
      </c>
      <c r="N19" s="21" t="s">
        <v>173</v>
      </c>
      <c r="O19" s="21">
        <v>350</v>
      </c>
      <c r="P19" s="26">
        <f t="shared" si="1"/>
        <v>0.14285714285714285</v>
      </c>
      <c r="S19" s="22" t="s">
        <v>175</v>
      </c>
    </row>
    <row r="20" spans="1:19" ht="18" x14ac:dyDescent="0.35">
      <c r="A20" s="19">
        <v>18</v>
      </c>
      <c r="B20" s="20" t="s">
        <v>585</v>
      </c>
      <c r="C20" s="20" t="s">
        <v>176</v>
      </c>
      <c r="D20" s="21">
        <v>2450</v>
      </c>
      <c r="E20" s="24">
        <f>G20*F20/2</f>
        <v>42.699999999999996</v>
      </c>
      <c r="F20" s="21">
        <v>0.35</v>
      </c>
      <c r="G20" s="21">
        <v>244</v>
      </c>
      <c r="H20" s="21">
        <f t="shared" si="0"/>
        <v>122</v>
      </c>
      <c r="J20" s="21">
        <v>5.8</v>
      </c>
      <c r="L20" s="21" t="s">
        <v>37</v>
      </c>
      <c r="M20" s="23" t="s">
        <v>584</v>
      </c>
      <c r="N20" s="21" t="s">
        <v>173</v>
      </c>
      <c r="O20" s="21">
        <v>350</v>
      </c>
      <c r="P20" s="26">
        <f t="shared" si="1"/>
        <v>0.14285714285714285</v>
      </c>
      <c r="S20" s="22" t="s">
        <v>177</v>
      </c>
    </row>
    <row r="21" spans="1:19" ht="18.75" x14ac:dyDescent="0.35">
      <c r="A21" s="19">
        <v>19</v>
      </c>
      <c r="B21" s="20" t="s">
        <v>586</v>
      </c>
      <c r="C21" s="20" t="s">
        <v>176</v>
      </c>
      <c r="D21" s="21">
        <v>200</v>
      </c>
      <c r="E21" s="21">
        <f>F21*G21/5</f>
        <v>31.68</v>
      </c>
      <c r="F21" s="21">
        <f>4.4/100000*1000</f>
        <v>4.4000000000000004E-2</v>
      </c>
      <c r="G21" s="21">
        <v>3600</v>
      </c>
      <c r="H21" s="21">
        <f t="shared" si="0"/>
        <v>719.99999999999989</v>
      </c>
      <c r="J21" s="21">
        <v>7.7</v>
      </c>
      <c r="L21" s="21">
        <v>50</v>
      </c>
      <c r="M21" s="23" t="s">
        <v>572</v>
      </c>
      <c r="N21" s="21" t="s">
        <v>621</v>
      </c>
      <c r="O21" s="21">
        <v>1000</v>
      </c>
      <c r="P21" s="21">
        <f t="shared" si="1"/>
        <v>5</v>
      </c>
      <c r="Q21" s="23" t="s">
        <v>587</v>
      </c>
      <c r="R21" s="21">
        <v>50</v>
      </c>
      <c r="S21" s="22" t="s">
        <v>192</v>
      </c>
    </row>
    <row r="22" spans="1:19" ht="18.75" x14ac:dyDescent="0.35">
      <c r="A22" s="19">
        <v>20</v>
      </c>
      <c r="B22" s="20" t="s">
        <v>586</v>
      </c>
      <c r="C22" s="20" t="s">
        <v>193</v>
      </c>
      <c r="D22" s="21">
        <v>250</v>
      </c>
      <c r="E22" s="21">
        <f>F22*G22/5</f>
        <v>22.8</v>
      </c>
      <c r="F22" s="21">
        <v>0.05</v>
      </c>
      <c r="G22" s="21">
        <v>2280</v>
      </c>
      <c r="H22" s="21">
        <f t="shared" si="0"/>
        <v>456</v>
      </c>
      <c r="L22" s="21">
        <v>50</v>
      </c>
      <c r="M22" s="23" t="s">
        <v>572</v>
      </c>
      <c r="N22" s="21" t="s">
        <v>621</v>
      </c>
      <c r="O22" s="21">
        <v>1000</v>
      </c>
      <c r="P22" s="21">
        <f t="shared" si="1"/>
        <v>4</v>
      </c>
      <c r="Q22" s="23" t="s">
        <v>587</v>
      </c>
      <c r="R22" s="21">
        <v>50</v>
      </c>
      <c r="S22" s="22" t="s">
        <v>192</v>
      </c>
    </row>
    <row r="23" spans="1:19" ht="31.5" x14ac:dyDescent="0.35">
      <c r="A23" s="19">
        <v>21</v>
      </c>
      <c r="B23" s="20" t="s">
        <v>588</v>
      </c>
      <c r="C23" s="20" t="s">
        <v>201</v>
      </c>
      <c r="D23" s="21">
        <v>580</v>
      </c>
      <c r="E23" s="21">
        <v>9.6999999999999993</v>
      </c>
      <c r="F23" s="21">
        <v>2</v>
      </c>
      <c r="G23" s="21">
        <v>1100</v>
      </c>
      <c r="H23" s="21">
        <f t="shared" si="0"/>
        <v>4.8499999999999996</v>
      </c>
      <c r="J23" s="21">
        <v>0.4</v>
      </c>
      <c r="L23" s="21">
        <v>50</v>
      </c>
      <c r="M23" s="23" t="s">
        <v>658</v>
      </c>
      <c r="N23" s="21" t="s">
        <v>621</v>
      </c>
      <c r="O23" s="21">
        <v>256000</v>
      </c>
      <c r="P23" s="26">
        <f t="shared" si="1"/>
        <v>441.37931034482756</v>
      </c>
      <c r="Q23" s="21" t="s">
        <v>195</v>
      </c>
      <c r="R23" s="23" t="s">
        <v>549</v>
      </c>
      <c r="S23" s="22" t="s">
        <v>194</v>
      </c>
    </row>
    <row r="24" spans="1:19" ht="30.75" customHeight="1" x14ac:dyDescent="0.35">
      <c r="A24" s="19">
        <v>22</v>
      </c>
      <c r="B24" s="20" t="s">
        <v>588</v>
      </c>
      <c r="C24" s="20" t="s">
        <v>202</v>
      </c>
      <c r="D24" s="21">
        <v>460</v>
      </c>
      <c r="E24" s="24">
        <f>D24*0.34/6</f>
        <v>26.066666666666666</v>
      </c>
      <c r="F24" s="21">
        <v>2</v>
      </c>
      <c r="G24" s="21">
        <v>3000</v>
      </c>
      <c r="H24" s="24">
        <f t="shared" si="0"/>
        <v>13.033333333333333</v>
      </c>
      <c r="J24" s="21" t="s">
        <v>200</v>
      </c>
      <c r="K24" s="21">
        <v>76</v>
      </c>
      <c r="L24" s="21">
        <v>50</v>
      </c>
      <c r="M24" s="23" t="s">
        <v>658</v>
      </c>
      <c r="N24" s="21" t="s">
        <v>621</v>
      </c>
      <c r="O24" s="21">
        <v>256000</v>
      </c>
      <c r="P24" s="26">
        <f t="shared" si="1"/>
        <v>556.52173913043475</v>
      </c>
      <c r="Q24" s="21" t="s">
        <v>195</v>
      </c>
      <c r="R24" s="29" t="s">
        <v>550</v>
      </c>
      <c r="S24" s="22" t="s">
        <v>194</v>
      </c>
    </row>
    <row r="25" spans="1:19" ht="36" customHeight="1" x14ac:dyDescent="0.35">
      <c r="A25" s="30">
        <v>23</v>
      </c>
      <c r="B25" s="31" t="s">
        <v>588</v>
      </c>
      <c r="C25" s="32" t="s">
        <v>204</v>
      </c>
      <c r="D25" s="33">
        <v>60</v>
      </c>
      <c r="E25" s="33">
        <f>D25*0.21/6</f>
        <v>2.1</v>
      </c>
      <c r="F25" s="33">
        <v>2</v>
      </c>
      <c r="G25" s="33">
        <v>230</v>
      </c>
      <c r="H25" s="33">
        <f t="shared" si="0"/>
        <v>1.05</v>
      </c>
      <c r="I25" s="33"/>
      <c r="J25" s="33" t="s">
        <v>203</v>
      </c>
      <c r="K25" s="33">
        <v>37.9</v>
      </c>
      <c r="L25" s="33">
        <v>50</v>
      </c>
      <c r="M25" s="34" t="s">
        <v>658</v>
      </c>
      <c r="N25" s="33" t="s">
        <v>621</v>
      </c>
      <c r="O25" s="33">
        <v>256000</v>
      </c>
      <c r="P25" s="35">
        <f t="shared" si="1"/>
        <v>4266.666666666667</v>
      </c>
      <c r="Q25" s="33" t="s">
        <v>195</v>
      </c>
      <c r="R25" s="34" t="s">
        <v>551</v>
      </c>
      <c r="S25" s="36" t="s">
        <v>194</v>
      </c>
    </row>
    <row r="26" spans="1:19" ht="31.5" x14ac:dyDescent="0.35">
      <c r="A26" s="19">
        <v>24</v>
      </c>
      <c r="B26" s="20" t="s">
        <v>589</v>
      </c>
      <c r="C26" s="20" t="s">
        <v>48</v>
      </c>
      <c r="D26" s="21" t="s">
        <v>212</v>
      </c>
      <c r="E26" s="26">
        <f>120/24/7</f>
        <v>0.7142857142857143</v>
      </c>
      <c r="F26" s="21">
        <f>0.5/1000</f>
        <v>5.0000000000000001E-4</v>
      </c>
      <c r="G26" s="21">
        <v>340000</v>
      </c>
      <c r="H26" s="25">
        <f t="shared" si="0"/>
        <v>1428.5714285714287</v>
      </c>
      <c r="I26" s="21" t="s">
        <v>67</v>
      </c>
      <c r="J26" s="23" t="s">
        <v>197</v>
      </c>
      <c r="L26" s="21">
        <v>25</v>
      </c>
      <c r="M26" s="21" t="s">
        <v>2</v>
      </c>
      <c r="N26" s="21" t="s">
        <v>621</v>
      </c>
      <c r="O26" s="21">
        <f>49*7*24</f>
        <v>8232</v>
      </c>
      <c r="S26" s="22" t="s">
        <v>64</v>
      </c>
    </row>
    <row r="27" spans="1:19" ht="18" x14ac:dyDescent="0.35">
      <c r="A27" s="19">
        <v>25</v>
      </c>
      <c r="B27" s="20" t="s">
        <v>589</v>
      </c>
      <c r="C27" s="20" t="s">
        <v>48</v>
      </c>
      <c r="D27" s="21" t="s">
        <v>212</v>
      </c>
      <c r="E27" s="26">
        <v>6.62</v>
      </c>
      <c r="F27" s="21">
        <v>2.5000000000000001E-4</v>
      </c>
      <c r="G27" s="21">
        <v>909000</v>
      </c>
      <c r="H27" s="21">
        <f t="shared" si="0"/>
        <v>26480</v>
      </c>
      <c r="I27" s="21" t="s">
        <v>83</v>
      </c>
      <c r="J27" s="21">
        <v>1.84</v>
      </c>
      <c r="L27" s="21">
        <v>30</v>
      </c>
      <c r="M27" s="21" t="s">
        <v>84</v>
      </c>
      <c r="N27" s="21" t="s">
        <v>621</v>
      </c>
      <c r="O27" s="21">
        <v>229</v>
      </c>
      <c r="S27" s="22" t="s">
        <v>85</v>
      </c>
    </row>
    <row r="28" spans="1:19" ht="31.5" x14ac:dyDescent="0.35">
      <c r="A28" s="19">
        <v>26</v>
      </c>
      <c r="B28" s="20" t="s">
        <v>589</v>
      </c>
      <c r="C28" s="20" t="s">
        <v>6</v>
      </c>
      <c r="D28" s="21">
        <v>1</v>
      </c>
      <c r="F28" s="37">
        <f>155/1000000</f>
        <v>1.55E-4</v>
      </c>
      <c r="G28" s="25">
        <f>D28*0.64/F28</f>
        <v>4129.0322580645161</v>
      </c>
      <c r="H28" s="21">
        <f t="shared" si="0"/>
        <v>0</v>
      </c>
      <c r="I28" s="21" t="s">
        <v>67</v>
      </c>
      <c r="J28" s="23" t="s">
        <v>198</v>
      </c>
      <c r="L28" s="21" t="s">
        <v>37</v>
      </c>
      <c r="M28" s="23" t="s">
        <v>69</v>
      </c>
      <c r="N28" s="21" t="s">
        <v>621</v>
      </c>
      <c r="O28" s="21">
        <v>1</v>
      </c>
      <c r="P28" s="21">
        <f t="shared" si="1"/>
        <v>1</v>
      </c>
      <c r="S28" s="22" t="s">
        <v>70</v>
      </c>
    </row>
    <row r="29" spans="1:19" ht="31.5" x14ac:dyDescent="0.35">
      <c r="A29" s="19">
        <v>27</v>
      </c>
      <c r="B29" s="20" t="s">
        <v>589</v>
      </c>
      <c r="C29" s="20" t="s">
        <v>65</v>
      </c>
      <c r="D29" s="21">
        <v>1</v>
      </c>
      <c r="F29" s="37">
        <f t="shared" ref="F29:F30" si="2">155/1000000</f>
        <v>1.55E-4</v>
      </c>
      <c r="G29" s="25">
        <f>D29*0.77/F29</f>
        <v>4967.7419354838712</v>
      </c>
      <c r="H29" s="21">
        <f t="shared" si="0"/>
        <v>0</v>
      </c>
      <c r="I29" s="21" t="s">
        <v>68</v>
      </c>
      <c r="J29" s="23" t="s">
        <v>198</v>
      </c>
      <c r="L29" s="21" t="s">
        <v>37</v>
      </c>
      <c r="M29" s="23" t="s">
        <v>69</v>
      </c>
      <c r="N29" s="21" t="s">
        <v>621</v>
      </c>
      <c r="O29" s="21">
        <v>1</v>
      </c>
      <c r="P29" s="21">
        <f t="shared" si="1"/>
        <v>1</v>
      </c>
      <c r="S29" s="22" t="s">
        <v>70</v>
      </c>
    </row>
    <row r="30" spans="1:19" ht="31.5" x14ac:dyDescent="0.35">
      <c r="A30" s="19">
        <v>28</v>
      </c>
      <c r="B30" s="20" t="s">
        <v>589</v>
      </c>
      <c r="C30" s="20" t="s">
        <v>66</v>
      </c>
      <c r="D30" s="21">
        <v>1</v>
      </c>
      <c r="F30" s="37">
        <f t="shared" si="2"/>
        <v>1.55E-4</v>
      </c>
      <c r="G30" s="25">
        <f>D30*0.85/F30</f>
        <v>5483.8709677419356</v>
      </c>
      <c r="H30" s="21">
        <f t="shared" si="0"/>
        <v>0</v>
      </c>
      <c r="I30" s="21" t="s">
        <v>67</v>
      </c>
      <c r="J30" s="23" t="s">
        <v>198</v>
      </c>
      <c r="L30" s="21" t="s">
        <v>37</v>
      </c>
      <c r="M30" s="23" t="s">
        <v>69</v>
      </c>
      <c r="N30" s="21" t="s">
        <v>621</v>
      </c>
      <c r="O30" s="21">
        <v>1</v>
      </c>
      <c r="P30" s="21">
        <f t="shared" si="1"/>
        <v>1</v>
      </c>
      <c r="S30" s="22" t="s">
        <v>70</v>
      </c>
    </row>
    <row r="31" spans="1:19" ht="31.5" x14ac:dyDescent="0.35">
      <c r="A31" s="19">
        <v>29</v>
      </c>
      <c r="B31" s="20" t="s">
        <v>590</v>
      </c>
      <c r="C31" s="20" t="s">
        <v>176</v>
      </c>
      <c r="D31" s="23" t="s">
        <v>178</v>
      </c>
      <c r="E31" s="38">
        <f>2.5/7/24</f>
        <v>1.4880952380952382E-2</v>
      </c>
      <c r="F31" s="23">
        <v>2.9E-4</v>
      </c>
      <c r="G31" s="25">
        <v>7806</v>
      </c>
      <c r="H31" s="24">
        <f t="shared" si="0"/>
        <v>51.313628899835798</v>
      </c>
      <c r="J31" s="21" t="s">
        <v>199</v>
      </c>
      <c r="L31" s="21">
        <v>30</v>
      </c>
      <c r="M31" s="23"/>
      <c r="N31" s="21" t="s">
        <v>621</v>
      </c>
      <c r="O31" s="21">
        <v>60</v>
      </c>
      <c r="Q31" s="39" t="s">
        <v>179</v>
      </c>
      <c r="R31" s="21" t="s">
        <v>180</v>
      </c>
      <c r="S31" s="22" t="s">
        <v>181</v>
      </c>
    </row>
    <row r="32" spans="1:19" x14ac:dyDescent="0.25">
      <c r="A32" s="19">
        <v>30</v>
      </c>
      <c r="B32" s="20" t="s">
        <v>589</v>
      </c>
      <c r="C32" s="20" t="s">
        <v>553</v>
      </c>
      <c r="D32" s="23">
        <v>630</v>
      </c>
      <c r="E32" s="38"/>
      <c r="F32" s="23"/>
      <c r="G32" s="25"/>
      <c r="M32" s="23"/>
      <c r="O32" s="21">
        <v>0.1</v>
      </c>
      <c r="P32" s="38">
        <f t="shared" si="1"/>
        <v>1.5873015873015873E-4</v>
      </c>
      <c r="Q32" s="39"/>
      <c r="S32" s="22" t="s">
        <v>526</v>
      </c>
    </row>
    <row r="33" spans="1:19" x14ac:dyDescent="0.25">
      <c r="A33" s="19">
        <v>31</v>
      </c>
      <c r="B33" s="20" t="s">
        <v>79</v>
      </c>
      <c r="C33" s="20" t="s">
        <v>48</v>
      </c>
      <c r="D33" s="21">
        <v>1</v>
      </c>
      <c r="E33" s="21">
        <v>1.5E-3</v>
      </c>
      <c r="F33" s="21" t="s">
        <v>80</v>
      </c>
      <c r="I33" s="21" t="s">
        <v>72</v>
      </c>
      <c r="L33" s="21">
        <v>30</v>
      </c>
      <c r="M33" s="21" t="s">
        <v>81</v>
      </c>
      <c r="N33" s="21" t="s">
        <v>77</v>
      </c>
      <c r="O33" s="21">
        <v>0.12</v>
      </c>
      <c r="P33" s="21">
        <f t="shared" si="1"/>
        <v>0.12</v>
      </c>
      <c r="Q33" s="21" t="s">
        <v>78</v>
      </c>
      <c r="R33" s="21">
        <v>8</v>
      </c>
      <c r="S33" s="40" t="s">
        <v>82</v>
      </c>
    </row>
    <row r="34" spans="1:19" x14ac:dyDescent="0.25">
      <c r="A34" s="19">
        <v>32</v>
      </c>
      <c r="B34" s="20" t="s">
        <v>71</v>
      </c>
      <c r="C34" s="20" t="s">
        <v>73</v>
      </c>
      <c r="I34" s="21" t="s">
        <v>72</v>
      </c>
      <c r="L34" s="21">
        <v>30</v>
      </c>
      <c r="M34" s="21" t="s">
        <v>75</v>
      </c>
      <c r="N34" s="21" t="s">
        <v>77</v>
      </c>
      <c r="Q34" s="23" t="s">
        <v>76</v>
      </c>
      <c r="R34" s="21">
        <v>0.2</v>
      </c>
      <c r="S34" s="22" t="s">
        <v>552</v>
      </c>
    </row>
    <row r="35" spans="1:19" x14ac:dyDescent="0.25">
      <c r="A35" s="19">
        <v>33</v>
      </c>
      <c r="B35" s="20" t="s">
        <v>71</v>
      </c>
      <c r="C35" s="20" t="s">
        <v>5</v>
      </c>
      <c r="I35" s="21" t="s">
        <v>86</v>
      </c>
      <c r="L35" s="21">
        <v>30</v>
      </c>
      <c r="M35" s="21" t="s">
        <v>75</v>
      </c>
      <c r="N35" s="21" t="s">
        <v>77</v>
      </c>
      <c r="Q35" s="23" t="s">
        <v>76</v>
      </c>
      <c r="R35" s="21">
        <v>0.2</v>
      </c>
      <c r="S35" s="22" t="s">
        <v>552</v>
      </c>
    </row>
    <row r="36" spans="1:19" x14ac:dyDescent="0.25">
      <c r="A36" s="19">
        <v>34</v>
      </c>
      <c r="B36" s="20" t="s">
        <v>71</v>
      </c>
      <c r="C36" s="20" t="s">
        <v>74</v>
      </c>
      <c r="I36" s="21" t="s">
        <v>72</v>
      </c>
      <c r="L36" s="21">
        <v>30</v>
      </c>
      <c r="M36" s="21" t="s">
        <v>75</v>
      </c>
      <c r="N36" s="21" t="s">
        <v>77</v>
      </c>
      <c r="Q36" s="23" t="s">
        <v>76</v>
      </c>
      <c r="R36" s="21">
        <v>0.2</v>
      </c>
      <c r="S36" s="22" t="s">
        <v>552</v>
      </c>
    </row>
    <row r="37" spans="1:19" ht="31.5" x14ac:dyDescent="0.35">
      <c r="A37" s="19">
        <v>35</v>
      </c>
      <c r="B37" s="20" t="s">
        <v>591</v>
      </c>
      <c r="C37" s="20" t="s">
        <v>89</v>
      </c>
      <c r="D37" s="21">
        <v>23</v>
      </c>
      <c r="E37" s="21">
        <v>0.9</v>
      </c>
      <c r="F37" s="21" t="s">
        <v>90</v>
      </c>
      <c r="I37" s="21" t="s">
        <v>83</v>
      </c>
      <c r="J37" s="21">
        <v>82</v>
      </c>
      <c r="L37" s="21">
        <v>30</v>
      </c>
      <c r="M37" s="23" t="s">
        <v>87</v>
      </c>
      <c r="N37" s="21" t="s">
        <v>664</v>
      </c>
      <c r="O37" s="21" t="s">
        <v>88</v>
      </c>
      <c r="S37" s="22" t="s">
        <v>91</v>
      </c>
    </row>
    <row r="38" spans="1:19" ht="45" customHeight="1" x14ac:dyDescent="0.35">
      <c r="A38" s="19">
        <v>36</v>
      </c>
      <c r="B38" s="20" t="s">
        <v>592</v>
      </c>
      <c r="C38" s="20" t="s">
        <v>48</v>
      </c>
      <c r="D38" s="21">
        <f>50/1000</f>
        <v>0.05</v>
      </c>
      <c r="E38" s="21">
        <f>D38*0.2/5</f>
        <v>2.0000000000000005E-3</v>
      </c>
      <c r="F38" s="23" t="s">
        <v>95</v>
      </c>
      <c r="I38" s="21" t="s">
        <v>83</v>
      </c>
      <c r="J38" s="21" t="s">
        <v>199</v>
      </c>
      <c r="M38" s="21" t="s">
        <v>93</v>
      </c>
      <c r="N38" s="21" t="s">
        <v>621</v>
      </c>
      <c r="O38" s="25">
        <v>58.35</v>
      </c>
      <c r="P38" s="21">
        <f t="shared" si="1"/>
        <v>1167</v>
      </c>
      <c r="S38" s="22" t="s">
        <v>70</v>
      </c>
    </row>
    <row r="39" spans="1:19" ht="31.5" x14ac:dyDescent="0.35">
      <c r="A39" s="19">
        <v>37</v>
      </c>
      <c r="B39" s="20" t="s">
        <v>592</v>
      </c>
      <c r="C39" s="41" t="s">
        <v>6</v>
      </c>
      <c r="D39" s="21" t="s">
        <v>216</v>
      </c>
      <c r="F39" s="23" t="s">
        <v>95</v>
      </c>
      <c r="I39" s="21" t="s">
        <v>94</v>
      </c>
      <c r="M39" s="21" t="s">
        <v>93</v>
      </c>
      <c r="N39" s="21" t="s">
        <v>621</v>
      </c>
      <c r="O39" s="25">
        <v>58.35</v>
      </c>
      <c r="S39" s="22" t="s">
        <v>70</v>
      </c>
    </row>
    <row r="40" spans="1:19" ht="31.5" x14ac:dyDescent="0.35">
      <c r="A40" s="19">
        <v>38</v>
      </c>
      <c r="B40" s="20" t="s">
        <v>592</v>
      </c>
      <c r="C40" s="41" t="s">
        <v>7</v>
      </c>
      <c r="D40" s="21">
        <f t="shared" ref="D40" si="3">50/1000</f>
        <v>0.05</v>
      </c>
      <c r="E40" s="38">
        <f>D40*0.015/5</f>
        <v>1.5000000000000001E-4</v>
      </c>
      <c r="F40" s="23" t="s">
        <v>95</v>
      </c>
      <c r="I40" s="21" t="s">
        <v>92</v>
      </c>
      <c r="J40" s="21" t="s">
        <v>199</v>
      </c>
      <c r="M40" s="21" t="s">
        <v>93</v>
      </c>
      <c r="N40" s="21" t="s">
        <v>621</v>
      </c>
      <c r="O40" s="25">
        <v>58.35</v>
      </c>
      <c r="P40" s="21">
        <f t="shared" si="1"/>
        <v>1167</v>
      </c>
      <c r="S40" s="22" t="s">
        <v>70</v>
      </c>
    </row>
    <row r="41" spans="1:19" ht="31.5" x14ac:dyDescent="0.35">
      <c r="A41" s="19">
        <v>39</v>
      </c>
      <c r="B41" s="20" t="s">
        <v>592</v>
      </c>
      <c r="C41" s="41" t="s">
        <v>96</v>
      </c>
      <c r="D41" s="21" t="s">
        <v>213</v>
      </c>
      <c r="E41" s="21">
        <f>G41*F41/(10/60)</f>
        <v>27</v>
      </c>
      <c r="F41" s="21">
        <f>0.1/1000</f>
        <v>1E-4</v>
      </c>
      <c r="G41" s="21">
        <v>45000</v>
      </c>
      <c r="H41" s="21">
        <f t="shared" si="0"/>
        <v>270000</v>
      </c>
      <c r="J41" s="21">
        <v>1.5</v>
      </c>
      <c r="L41" s="21">
        <v>23</v>
      </c>
      <c r="M41" s="23" t="s">
        <v>98</v>
      </c>
      <c r="N41" s="21" t="s">
        <v>621</v>
      </c>
      <c r="O41" s="26">
        <f>8/6</f>
        <v>1.3333333333333333</v>
      </c>
      <c r="Q41" s="21" t="s">
        <v>97</v>
      </c>
      <c r="R41" s="21">
        <v>120</v>
      </c>
      <c r="S41" s="22" t="s">
        <v>99</v>
      </c>
    </row>
    <row r="42" spans="1:19" ht="31.5" x14ac:dyDescent="0.35">
      <c r="A42" s="19">
        <v>40</v>
      </c>
      <c r="B42" s="20" t="s">
        <v>592</v>
      </c>
      <c r="C42" s="20" t="s">
        <v>593</v>
      </c>
      <c r="D42" s="21" t="s">
        <v>214</v>
      </c>
      <c r="E42" s="21">
        <f t="shared" ref="E42:E44" si="4">G42*F42/(10/60)</f>
        <v>25.8</v>
      </c>
      <c r="F42" s="21">
        <f t="shared" ref="F42:F44" si="5">0.1/1000</f>
        <v>1E-4</v>
      </c>
      <c r="G42" s="21">
        <v>43000</v>
      </c>
      <c r="H42" s="21">
        <f t="shared" si="0"/>
        <v>258000</v>
      </c>
      <c r="J42" s="21">
        <v>0.05</v>
      </c>
      <c r="L42" s="21">
        <v>23</v>
      </c>
      <c r="M42" s="23" t="s">
        <v>98</v>
      </c>
      <c r="N42" s="21" t="s">
        <v>621</v>
      </c>
      <c r="O42" s="26">
        <f t="shared" ref="O42:O44" si="6">8/6</f>
        <v>1.3333333333333333</v>
      </c>
      <c r="Q42" s="21" t="s">
        <v>97</v>
      </c>
      <c r="R42" s="21">
        <v>120</v>
      </c>
      <c r="S42" s="22" t="s">
        <v>99</v>
      </c>
    </row>
    <row r="43" spans="1:19" ht="31.5" x14ac:dyDescent="0.35">
      <c r="A43" s="19">
        <v>41</v>
      </c>
      <c r="B43" s="20" t="s">
        <v>592</v>
      </c>
      <c r="C43" s="20" t="s">
        <v>594</v>
      </c>
      <c r="D43" s="21" t="s">
        <v>215</v>
      </c>
      <c r="E43" s="21">
        <f t="shared" si="4"/>
        <v>19.800000000000004</v>
      </c>
      <c r="F43" s="21">
        <f t="shared" si="5"/>
        <v>1E-4</v>
      </c>
      <c r="G43" s="21">
        <v>33000</v>
      </c>
      <c r="H43" s="21">
        <f t="shared" si="0"/>
        <v>198000.00000000003</v>
      </c>
      <c r="J43" s="21">
        <v>0.18</v>
      </c>
      <c r="L43" s="21">
        <v>23</v>
      </c>
      <c r="M43" s="23" t="s">
        <v>98</v>
      </c>
      <c r="N43" s="21" t="s">
        <v>621</v>
      </c>
      <c r="O43" s="26">
        <f t="shared" si="6"/>
        <v>1.3333333333333333</v>
      </c>
      <c r="Q43" s="21" t="s">
        <v>97</v>
      </c>
      <c r="R43" s="21">
        <v>120</v>
      </c>
      <c r="S43" s="22" t="s">
        <v>99</v>
      </c>
    </row>
    <row r="44" spans="1:19" ht="31.5" x14ac:dyDescent="0.35">
      <c r="A44" s="19">
        <v>42</v>
      </c>
      <c r="B44" s="20" t="s">
        <v>592</v>
      </c>
      <c r="C44" s="20" t="s">
        <v>595</v>
      </c>
      <c r="D44" s="21" t="s">
        <v>215</v>
      </c>
      <c r="E44" s="21">
        <f t="shared" si="4"/>
        <v>12</v>
      </c>
      <c r="F44" s="21">
        <f t="shared" si="5"/>
        <v>1E-4</v>
      </c>
      <c r="G44" s="21">
        <v>20000</v>
      </c>
      <c r="H44" s="21">
        <f t="shared" si="0"/>
        <v>120000</v>
      </c>
      <c r="J44" s="21">
        <v>0.25</v>
      </c>
      <c r="L44" s="21">
        <v>23</v>
      </c>
      <c r="M44" s="23" t="s">
        <v>98</v>
      </c>
      <c r="N44" s="21" t="s">
        <v>621</v>
      </c>
      <c r="O44" s="26">
        <f t="shared" si="6"/>
        <v>1.3333333333333333</v>
      </c>
      <c r="Q44" s="21" t="s">
        <v>97</v>
      </c>
      <c r="R44" s="21">
        <v>120</v>
      </c>
      <c r="S44" s="22" t="s">
        <v>99</v>
      </c>
    </row>
    <row r="45" spans="1:19" ht="46.5" x14ac:dyDescent="0.35">
      <c r="A45" s="19">
        <v>43</v>
      </c>
      <c r="B45" s="27" t="s">
        <v>104</v>
      </c>
      <c r="C45" s="20" t="s">
        <v>48</v>
      </c>
      <c r="D45" s="21">
        <v>4</v>
      </c>
      <c r="E45" s="26">
        <f>G45*F45/(30/60)</f>
        <v>0.373</v>
      </c>
      <c r="F45" s="21">
        <f>0.5/1000</f>
        <v>5.0000000000000001E-4</v>
      </c>
      <c r="G45" s="21">
        <v>373</v>
      </c>
      <c r="H45" s="21">
        <f t="shared" si="0"/>
        <v>746</v>
      </c>
      <c r="I45" s="21" t="s">
        <v>100</v>
      </c>
      <c r="J45" s="23" t="s">
        <v>211</v>
      </c>
      <c r="K45" s="23"/>
      <c r="L45" s="21">
        <v>525</v>
      </c>
      <c r="M45" s="21" t="s">
        <v>101</v>
      </c>
      <c r="N45" s="21" t="s">
        <v>621</v>
      </c>
      <c r="O45" s="21">
        <v>200</v>
      </c>
      <c r="P45" s="21">
        <f t="shared" si="1"/>
        <v>50</v>
      </c>
      <c r="Q45" s="23" t="s">
        <v>102</v>
      </c>
      <c r="R45" s="21">
        <f>0.5</f>
        <v>0.5</v>
      </c>
      <c r="S45" s="22" t="s">
        <v>103</v>
      </c>
    </row>
    <row r="46" spans="1:19" ht="18" x14ac:dyDescent="0.35">
      <c r="A46" s="19">
        <v>44</v>
      </c>
      <c r="B46" s="20" t="s">
        <v>107</v>
      </c>
      <c r="C46" s="20" t="s">
        <v>105</v>
      </c>
      <c r="D46" s="21">
        <v>2</v>
      </c>
      <c r="E46" s="21">
        <f>G46*F46/(1/60)</f>
        <v>32.400000000000006</v>
      </c>
      <c r="F46" s="21">
        <f>0.1/1000</f>
        <v>1E-4</v>
      </c>
      <c r="G46" s="21">
        <v>5400</v>
      </c>
      <c r="H46" s="21">
        <f t="shared" si="0"/>
        <v>324000.00000000006</v>
      </c>
      <c r="I46" s="21" t="s">
        <v>106</v>
      </c>
      <c r="J46" s="21" t="s">
        <v>199</v>
      </c>
      <c r="L46" s="21">
        <v>30</v>
      </c>
      <c r="M46" s="21" t="s">
        <v>110</v>
      </c>
      <c r="N46" s="21" t="s">
        <v>664</v>
      </c>
      <c r="P46" s="21">
        <f t="shared" si="1"/>
        <v>0</v>
      </c>
      <c r="Q46" s="21" t="s">
        <v>111</v>
      </c>
      <c r="R46" s="21" t="s">
        <v>113</v>
      </c>
      <c r="S46" s="22" t="s">
        <v>114</v>
      </c>
    </row>
    <row r="47" spans="1:19" ht="18" x14ac:dyDescent="0.35">
      <c r="A47" s="19">
        <v>45</v>
      </c>
      <c r="B47" s="20" t="s">
        <v>108</v>
      </c>
      <c r="C47" s="20" t="s">
        <v>5</v>
      </c>
      <c r="D47" s="21">
        <v>2</v>
      </c>
      <c r="E47" s="21" t="s">
        <v>112</v>
      </c>
      <c r="F47" s="21">
        <f>0.1/1000</f>
        <v>1E-4</v>
      </c>
      <c r="G47" s="21" t="s">
        <v>109</v>
      </c>
      <c r="I47" s="21" t="s">
        <v>106</v>
      </c>
      <c r="J47" s="21" t="s">
        <v>199</v>
      </c>
      <c r="L47" s="21">
        <v>30</v>
      </c>
      <c r="M47" s="21" t="s">
        <v>110</v>
      </c>
      <c r="N47" s="21" t="s">
        <v>664</v>
      </c>
      <c r="P47" s="21">
        <f t="shared" si="1"/>
        <v>0</v>
      </c>
      <c r="Q47" s="21" t="s">
        <v>111</v>
      </c>
      <c r="R47" s="21" t="s">
        <v>113</v>
      </c>
      <c r="S47" s="22" t="s">
        <v>114</v>
      </c>
    </row>
    <row r="48" spans="1:19" x14ac:dyDescent="0.25">
      <c r="A48" s="19">
        <v>46</v>
      </c>
      <c r="B48" s="20" t="s">
        <v>182</v>
      </c>
      <c r="C48" s="20" t="s">
        <v>176</v>
      </c>
      <c r="D48" s="21">
        <v>5</v>
      </c>
      <c r="E48" s="26">
        <f>D48*0.893/3</f>
        <v>1.4883333333333333</v>
      </c>
      <c r="F48" s="21">
        <v>2.0000000000000001E-4</v>
      </c>
      <c r="G48" s="21">
        <v>20860</v>
      </c>
      <c r="H48" s="25">
        <f t="shared" si="0"/>
        <v>7441.6666666666661</v>
      </c>
      <c r="J48" s="21">
        <v>89.3</v>
      </c>
      <c r="L48" s="21">
        <v>30</v>
      </c>
      <c r="M48" s="21" t="s">
        <v>183</v>
      </c>
      <c r="N48" s="21" t="s">
        <v>184</v>
      </c>
      <c r="P48" s="21">
        <f t="shared" si="1"/>
        <v>0</v>
      </c>
      <c r="Q48" s="21" t="s">
        <v>185</v>
      </c>
      <c r="R48" s="21" t="s">
        <v>186</v>
      </c>
      <c r="S48" s="22" t="s">
        <v>187</v>
      </c>
    </row>
    <row r="49" spans="1:21" ht="48" x14ac:dyDescent="0.25">
      <c r="A49" s="19">
        <v>47</v>
      </c>
      <c r="B49" s="20" t="s">
        <v>188</v>
      </c>
      <c r="C49" s="20" t="s">
        <v>176</v>
      </c>
      <c r="D49" s="21">
        <v>460</v>
      </c>
      <c r="E49" s="42">
        <f>43/52</f>
        <v>0.82692307692307687</v>
      </c>
      <c r="F49" s="21" t="s">
        <v>568</v>
      </c>
      <c r="G49" s="23" t="s">
        <v>190</v>
      </c>
      <c r="J49" s="21">
        <v>20.7</v>
      </c>
      <c r="L49" s="21">
        <v>30</v>
      </c>
      <c r="M49" s="23" t="s">
        <v>596</v>
      </c>
      <c r="N49" s="21" t="s">
        <v>184</v>
      </c>
      <c r="P49" s="21">
        <f t="shared" si="1"/>
        <v>0</v>
      </c>
      <c r="Q49" s="21" t="s">
        <v>189</v>
      </c>
      <c r="R49" s="43" t="s">
        <v>597</v>
      </c>
      <c r="S49" s="22" t="s">
        <v>191</v>
      </c>
    </row>
    <row r="50" spans="1:21" ht="31.5" x14ac:dyDescent="0.35">
      <c r="A50" s="19">
        <v>48</v>
      </c>
      <c r="B50" s="27" t="s">
        <v>205</v>
      </c>
      <c r="C50" s="20" t="s">
        <v>202</v>
      </c>
      <c r="D50" s="21" t="s">
        <v>209</v>
      </c>
      <c r="E50" s="21">
        <v>19.5</v>
      </c>
      <c r="F50" s="21">
        <f>0.5/1000</f>
        <v>5.0000000000000001E-4</v>
      </c>
      <c r="G50" s="21">
        <v>1852</v>
      </c>
      <c r="H50" s="21">
        <f t="shared" si="0"/>
        <v>39000</v>
      </c>
      <c r="J50" s="21" t="s">
        <v>199</v>
      </c>
      <c r="K50" s="21" t="s">
        <v>208</v>
      </c>
      <c r="L50" s="21">
        <v>25</v>
      </c>
      <c r="M50" s="23" t="s">
        <v>207</v>
      </c>
      <c r="N50" s="21" t="s">
        <v>621</v>
      </c>
      <c r="O50" s="21">
        <v>60</v>
      </c>
      <c r="Q50" s="21" t="s">
        <v>206</v>
      </c>
      <c r="R50" s="21">
        <v>0.5</v>
      </c>
      <c r="S50" s="22" t="s">
        <v>210</v>
      </c>
    </row>
    <row r="51" spans="1:21" x14ac:dyDescent="0.25">
      <c r="A51" s="30">
        <v>49</v>
      </c>
      <c r="B51" s="32" t="s">
        <v>517</v>
      </c>
      <c r="C51" s="32" t="s">
        <v>645</v>
      </c>
      <c r="D51" s="33">
        <v>0.1</v>
      </c>
      <c r="E51" s="33"/>
      <c r="F51" s="33">
        <f>0.5/1000</f>
        <v>5.0000000000000001E-4</v>
      </c>
      <c r="G51" s="33"/>
      <c r="H51" s="33">
        <f t="shared" si="0"/>
        <v>0</v>
      </c>
      <c r="I51" s="33"/>
      <c r="J51" s="33"/>
      <c r="K51" s="33"/>
      <c r="L51" s="33"/>
      <c r="M51" s="33"/>
      <c r="N51" s="33"/>
      <c r="O51" s="33">
        <v>0.1</v>
      </c>
      <c r="P51" s="33">
        <f t="shared" ref="P51" si="7">O51/D51</f>
        <v>1</v>
      </c>
      <c r="Q51" s="33"/>
      <c r="R51" s="33"/>
      <c r="S51" s="36" t="s">
        <v>518</v>
      </c>
    </row>
    <row r="52" spans="1:21" x14ac:dyDescent="0.25">
      <c r="S52" s="22"/>
    </row>
    <row r="53" spans="1:21" ht="15.75" thickBot="1" x14ac:dyDescent="0.3">
      <c r="S53" s="22"/>
    </row>
    <row r="54" spans="1:21" ht="27.75" customHeight="1" x14ac:dyDescent="0.25">
      <c r="A54" s="16" t="s">
        <v>529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7"/>
    </row>
    <row r="55" spans="1:21" ht="18" x14ac:dyDescent="0.35">
      <c r="A55" s="19">
        <v>1</v>
      </c>
      <c r="B55" s="20" t="s">
        <v>123</v>
      </c>
      <c r="C55" s="20" t="s">
        <v>3</v>
      </c>
      <c r="D55" s="21">
        <v>399</v>
      </c>
      <c r="E55" s="24">
        <f>D55*0.52/6</f>
        <v>34.580000000000005</v>
      </c>
      <c r="F55" s="21">
        <v>1.77</v>
      </c>
      <c r="G55" s="25">
        <f>D55*0.52/F55</f>
        <v>117.22033898305085</v>
      </c>
      <c r="H55" s="25">
        <f>E55/F55</f>
        <v>19.53672316384181</v>
      </c>
      <c r="K55" s="21" t="s">
        <v>63</v>
      </c>
      <c r="L55" s="21">
        <v>50</v>
      </c>
      <c r="M55" s="45" t="s">
        <v>598</v>
      </c>
      <c r="N55" s="21" t="s">
        <v>621</v>
      </c>
      <c r="O55" s="21">
        <v>399</v>
      </c>
      <c r="P55" s="21">
        <f>O55/D55</f>
        <v>1</v>
      </c>
      <c r="Q55" s="45" t="s">
        <v>599</v>
      </c>
      <c r="R55" s="21">
        <v>50</v>
      </c>
      <c r="S55" s="22" t="s">
        <v>115</v>
      </c>
    </row>
    <row r="56" spans="1:21" ht="18.75" x14ac:dyDescent="0.35">
      <c r="A56" s="19">
        <v>2</v>
      </c>
      <c r="B56" s="20" t="s">
        <v>600</v>
      </c>
      <c r="C56" s="20" t="s">
        <v>3</v>
      </c>
      <c r="D56" s="21">
        <v>1000</v>
      </c>
      <c r="E56" s="21">
        <f>D56*0.29/5</f>
        <v>58</v>
      </c>
      <c r="F56" s="21">
        <v>1</v>
      </c>
      <c r="G56" s="21">
        <v>286</v>
      </c>
      <c r="H56" s="25">
        <f t="shared" ref="H56:H119" si="8">E56/F56</f>
        <v>58</v>
      </c>
      <c r="K56" s="21">
        <v>97</v>
      </c>
      <c r="L56" s="21">
        <v>60</v>
      </c>
      <c r="M56" s="21" t="s">
        <v>120</v>
      </c>
      <c r="N56" s="21" t="s">
        <v>621</v>
      </c>
      <c r="O56" s="21">
        <v>5000</v>
      </c>
      <c r="P56" s="21">
        <f t="shared" ref="P56:P118" si="9">O56/D56</f>
        <v>5</v>
      </c>
      <c r="S56" s="22" t="s">
        <v>116</v>
      </c>
      <c r="U56" s="20"/>
    </row>
    <row r="57" spans="1:21" ht="18.75" x14ac:dyDescent="0.35">
      <c r="A57" s="19">
        <v>3</v>
      </c>
      <c r="B57" s="20" t="s">
        <v>601</v>
      </c>
      <c r="C57" s="20" t="s">
        <v>3</v>
      </c>
      <c r="D57" s="21">
        <v>909</v>
      </c>
      <c r="E57" s="24">
        <f>D57*0.42/5</f>
        <v>76.355999999999995</v>
      </c>
      <c r="F57" s="21">
        <v>0.45</v>
      </c>
      <c r="G57" s="21">
        <v>820</v>
      </c>
      <c r="H57" s="25">
        <f t="shared" si="8"/>
        <v>169.67999999999998</v>
      </c>
      <c r="K57" s="21">
        <v>97</v>
      </c>
      <c r="L57" s="21">
        <v>60</v>
      </c>
      <c r="M57" s="21" t="s">
        <v>120</v>
      </c>
      <c r="N57" s="21" t="s">
        <v>621</v>
      </c>
      <c r="O57" s="21">
        <v>4545</v>
      </c>
      <c r="P57" s="21">
        <f t="shared" si="9"/>
        <v>5</v>
      </c>
      <c r="Q57" s="21" t="s">
        <v>117</v>
      </c>
      <c r="R57" s="21">
        <v>0.91</v>
      </c>
      <c r="S57" s="22" t="s">
        <v>118</v>
      </c>
      <c r="U57" s="20"/>
    </row>
    <row r="58" spans="1:21" ht="18.75" x14ac:dyDescent="0.35">
      <c r="A58" s="19">
        <v>4</v>
      </c>
      <c r="B58" s="20" t="s">
        <v>602</v>
      </c>
      <c r="C58" s="20" t="s">
        <v>3</v>
      </c>
      <c r="D58" s="21">
        <v>1667</v>
      </c>
      <c r="E58" s="24">
        <f>D58*0.298/5</f>
        <v>99.353199999999987</v>
      </c>
      <c r="F58" s="21">
        <v>0.83</v>
      </c>
      <c r="G58" s="21">
        <v>586</v>
      </c>
      <c r="H58" s="25">
        <f t="shared" si="8"/>
        <v>119.70265060240963</v>
      </c>
      <c r="K58" s="21">
        <v>98.3</v>
      </c>
      <c r="L58" s="21">
        <v>60</v>
      </c>
      <c r="M58" s="21" t="s">
        <v>120</v>
      </c>
      <c r="N58" s="21" t="s">
        <v>621</v>
      </c>
      <c r="O58" s="21">
        <v>667</v>
      </c>
      <c r="P58" s="26">
        <f t="shared" si="9"/>
        <v>0.40011997600479904</v>
      </c>
      <c r="Q58" s="21" t="s">
        <v>117</v>
      </c>
      <c r="R58" s="21">
        <v>0.83</v>
      </c>
      <c r="S58" s="22" t="s">
        <v>119</v>
      </c>
      <c r="U58" s="20"/>
    </row>
    <row r="59" spans="1:21" ht="18" x14ac:dyDescent="0.35">
      <c r="A59" s="19">
        <v>5</v>
      </c>
      <c r="B59" s="3" t="s">
        <v>122</v>
      </c>
      <c r="C59" s="20" t="s">
        <v>3</v>
      </c>
      <c r="D59" s="21">
        <v>320</v>
      </c>
      <c r="E59" s="21">
        <f>D59*0.13/1</f>
        <v>41.6</v>
      </c>
      <c r="F59" s="21">
        <v>3.2</v>
      </c>
      <c r="G59" s="21">
        <f>320*0.13/F59</f>
        <v>13</v>
      </c>
      <c r="H59" s="25">
        <f t="shared" si="8"/>
        <v>13</v>
      </c>
      <c r="K59" s="21">
        <v>87</v>
      </c>
      <c r="L59" s="21">
        <v>25</v>
      </c>
      <c r="M59" s="21" t="s">
        <v>120</v>
      </c>
      <c r="N59" s="21" t="s">
        <v>621</v>
      </c>
      <c r="O59" s="21">
        <v>3205</v>
      </c>
      <c r="P59" s="26">
        <f t="shared" si="9"/>
        <v>10.015625</v>
      </c>
      <c r="S59" s="22" t="s">
        <v>121</v>
      </c>
      <c r="U59" s="20"/>
    </row>
    <row r="60" spans="1:21" ht="18" x14ac:dyDescent="0.35">
      <c r="A60" s="19">
        <v>6</v>
      </c>
      <c r="B60" s="20" t="s">
        <v>603</v>
      </c>
      <c r="C60" s="20" t="s">
        <v>3</v>
      </c>
      <c r="D60" s="21">
        <v>1290</v>
      </c>
      <c r="E60" s="25">
        <f>D60*0.1081/1</f>
        <v>139.44900000000001</v>
      </c>
      <c r="F60" s="21">
        <v>56.7</v>
      </c>
      <c r="G60" s="26">
        <v>5.4</v>
      </c>
      <c r="H60" s="25">
        <f t="shared" si="8"/>
        <v>2.4594179894179895</v>
      </c>
      <c r="K60" s="21">
        <v>93</v>
      </c>
      <c r="L60" s="21">
        <v>25</v>
      </c>
      <c r="M60" s="21" t="s">
        <v>120</v>
      </c>
      <c r="N60" s="21" t="s">
        <v>621</v>
      </c>
      <c r="O60" s="21">
        <v>1547</v>
      </c>
      <c r="P60" s="26">
        <f t="shared" si="9"/>
        <v>1.1992248062015505</v>
      </c>
      <c r="S60" s="22" t="s">
        <v>125</v>
      </c>
      <c r="U60" s="20"/>
    </row>
    <row r="61" spans="1:21" ht="46.5" x14ac:dyDescent="0.35">
      <c r="A61" s="19">
        <v>7</v>
      </c>
      <c r="B61" s="2" t="s">
        <v>128</v>
      </c>
      <c r="C61" s="20" t="s">
        <v>3</v>
      </c>
      <c r="D61" s="21">
        <v>100</v>
      </c>
      <c r="E61" s="24">
        <f>65/6</f>
        <v>10.833333333333334</v>
      </c>
      <c r="F61" s="21">
        <v>92</v>
      </c>
      <c r="G61" s="26">
        <f>65/F61</f>
        <v>0.70652173913043481</v>
      </c>
      <c r="H61" s="25">
        <f t="shared" si="8"/>
        <v>0.11775362318840581</v>
      </c>
      <c r="K61" s="21">
        <v>95</v>
      </c>
      <c r="L61" s="21">
        <v>170</v>
      </c>
      <c r="M61" s="21" t="s">
        <v>604</v>
      </c>
      <c r="N61" s="21" t="s">
        <v>664</v>
      </c>
      <c r="O61" s="23" t="s">
        <v>126</v>
      </c>
      <c r="S61" s="46" t="s">
        <v>127</v>
      </c>
      <c r="U61" s="20"/>
    </row>
    <row r="62" spans="1:21" ht="18" x14ac:dyDescent="0.35">
      <c r="A62" s="19">
        <v>8</v>
      </c>
      <c r="B62" s="20" t="s">
        <v>605</v>
      </c>
      <c r="C62" s="20" t="s">
        <v>3</v>
      </c>
      <c r="D62" s="21">
        <v>0.2</v>
      </c>
      <c r="E62" s="42">
        <v>4.2000000000000003E-2</v>
      </c>
      <c r="F62" s="21">
        <v>7.6399999999999996E-2</v>
      </c>
      <c r="G62" s="42">
        <v>1.0994764397905761E-2</v>
      </c>
      <c r="H62" s="25">
        <f t="shared" si="8"/>
        <v>0.54973821989528804</v>
      </c>
      <c r="K62" s="21">
        <v>81</v>
      </c>
      <c r="L62" s="21">
        <v>40</v>
      </c>
      <c r="M62" s="21" t="s">
        <v>148</v>
      </c>
      <c r="N62" s="21" t="s">
        <v>634</v>
      </c>
      <c r="P62" s="21">
        <f t="shared" si="9"/>
        <v>0</v>
      </c>
      <c r="Q62" s="21" t="s">
        <v>150</v>
      </c>
      <c r="S62" s="22" t="s">
        <v>149</v>
      </c>
      <c r="U62" s="20"/>
    </row>
    <row r="63" spans="1:21" ht="18" x14ac:dyDescent="0.35">
      <c r="A63" s="19">
        <v>9</v>
      </c>
      <c r="B63" s="20" t="s">
        <v>606</v>
      </c>
      <c r="C63" s="20" t="s">
        <v>3</v>
      </c>
      <c r="D63" s="21">
        <v>2.25</v>
      </c>
      <c r="E63" s="26">
        <v>1.0900000000000001</v>
      </c>
      <c r="G63" s="26"/>
      <c r="H63" s="25"/>
      <c r="K63" s="21">
        <v>26.5</v>
      </c>
      <c r="L63" s="21">
        <v>6</v>
      </c>
      <c r="M63" s="21" t="s">
        <v>4</v>
      </c>
      <c r="N63" s="21" t="s">
        <v>664</v>
      </c>
      <c r="P63" s="21">
        <f t="shared" si="9"/>
        <v>0</v>
      </c>
      <c r="Q63" s="21" t="s">
        <v>151</v>
      </c>
      <c r="S63" s="22" t="s">
        <v>152</v>
      </c>
      <c r="U63" s="20"/>
    </row>
    <row r="64" spans="1:21" x14ac:dyDescent="0.25">
      <c r="A64" s="19">
        <v>10</v>
      </c>
      <c r="B64" s="20" t="s">
        <v>156</v>
      </c>
      <c r="C64" s="20" t="s">
        <v>3</v>
      </c>
      <c r="D64" s="21">
        <v>500</v>
      </c>
      <c r="E64" s="26">
        <v>455</v>
      </c>
      <c r="F64" s="21" t="s">
        <v>153</v>
      </c>
      <c r="H64" s="25"/>
      <c r="K64" s="21">
        <v>75.8</v>
      </c>
      <c r="L64" s="21">
        <v>70</v>
      </c>
      <c r="M64" s="21" t="s">
        <v>4</v>
      </c>
      <c r="P64" s="21">
        <f t="shared" si="9"/>
        <v>0</v>
      </c>
      <c r="Q64" s="21" t="s">
        <v>154</v>
      </c>
      <c r="S64" s="22" t="s">
        <v>155</v>
      </c>
      <c r="U64" s="20"/>
    </row>
    <row r="65" spans="1:21" ht="18" x14ac:dyDescent="0.35">
      <c r="A65" s="19">
        <v>11</v>
      </c>
      <c r="B65" s="20" t="s">
        <v>607</v>
      </c>
      <c r="C65" s="20" t="s">
        <v>3</v>
      </c>
      <c r="D65" s="21">
        <v>82</v>
      </c>
      <c r="E65" s="26">
        <v>6.81</v>
      </c>
      <c r="F65" s="21" t="s">
        <v>158</v>
      </c>
      <c r="G65" s="25"/>
      <c r="H65" s="25"/>
      <c r="K65" s="21">
        <v>97</v>
      </c>
      <c r="M65" s="21" t="s">
        <v>4</v>
      </c>
      <c r="N65" s="21" t="s">
        <v>621</v>
      </c>
      <c r="O65" s="21">
        <v>62.5</v>
      </c>
      <c r="P65" s="26">
        <f t="shared" si="9"/>
        <v>0.76219512195121952</v>
      </c>
      <c r="Q65" s="21" t="s">
        <v>157</v>
      </c>
      <c r="S65" s="22" t="s">
        <v>159</v>
      </c>
      <c r="U65" s="20"/>
    </row>
    <row r="66" spans="1:21" ht="18" x14ac:dyDescent="0.35">
      <c r="A66" s="19">
        <v>12</v>
      </c>
      <c r="B66" s="20" t="s">
        <v>160</v>
      </c>
      <c r="C66" s="20" t="s">
        <v>3</v>
      </c>
      <c r="D66" s="21">
        <v>125</v>
      </c>
      <c r="E66" s="26">
        <v>3.14</v>
      </c>
      <c r="F66" s="21" t="s">
        <v>163</v>
      </c>
      <c r="H66" s="25"/>
      <c r="K66" s="21">
        <v>98</v>
      </c>
      <c r="M66" s="21" t="s">
        <v>162</v>
      </c>
      <c r="N66" s="21" t="s">
        <v>621</v>
      </c>
      <c r="O66" s="21">
        <f>D66/4*3</f>
        <v>93.75</v>
      </c>
      <c r="P66" s="21">
        <f t="shared" si="9"/>
        <v>0.75</v>
      </c>
      <c r="Q66" s="21" t="s">
        <v>161</v>
      </c>
      <c r="S66" s="22" t="s">
        <v>164</v>
      </c>
      <c r="U66" s="20"/>
    </row>
    <row r="67" spans="1:21" ht="17.25" x14ac:dyDescent="0.25">
      <c r="A67" s="19">
        <v>13</v>
      </c>
      <c r="B67" s="20" t="s">
        <v>165</v>
      </c>
      <c r="C67" s="20" t="s">
        <v>3</v>
      </c>
      <c r="D67" s="25">
        <v>30</v>
      </c>
      <c r="E67" s="26">
        <v>9.3000000000000007</v>
      </c>
      <c r="F67" s="21">
        <v>2</v>
      </c>
      <c r="H67" s="25">
        <f t="shared" si="8"/>
        <v>4.6500000000000004</v>
      </c>
      <c r="K67" s="21">
        <v>98</v>
      </c>
      <c r="L67" s="21">
        <v>20</v>
      </c>
      <c r="M67" s="21" t="s">
        <v>166</v>
      </c>
      <c r="P67" s="21">
        <f t="shared" si="9"/>
        <v>0</v>
      </c>
      <c r="Q67" s="21" t="s">
        <v>168</v>
      </c>
      <c r="S67" s="22" t="s">
        <v>169</v>
      </c>
      <c r="U67" s="20"/>
    </row>
    <row r="68" spans="1:21" ht="18" x14ac:dyDescent="0.35">
      <c r="A68" s="19">
        <v>14</v>
      </c>
      <c r="B68" s="20" t="s">
        <v>335</v>
      </c>
      <c r="C68" s="20" t="s">
        <v>3</v>
      </c>
      <c r="D68" s="21">
        <v>494</v>
      </c>
      <c r="E68" s="24">
        <f>D68*0.136/4</f>
        <v>16.796000000000003</v>
      </c>
      <c r="F68" s="47">
        <f>D68*0.136/G68</f>
        <v>7.4648888888888898</v>
      </c>
      <c r="G68" s="21">
        <v>9</v>
      </c>
      <c r="H68" s="25">
        <f t="shared" si="8"/>
        <v>2.25</v>
      </c>
      <c r="K68" s="21">
        <v>78.5</v>
      </c>
      <c r="L68" s="21">
        <v>45</v>
      </c>
      <c r="M68" s="21" t="s">
        <v>60</v>
      </c>
      <c r="N68" s="21" t="s">
        <v>621</v>
      </c>
      <c r="O68" s="21">
        <v>2329</v>
      </c>
      <c r="P68" s="26">
        <f t="shared" si="9"/>
        <v>4.7145748987854255</v>
      </c>
      <c r="S68" s="22" t="s">
        <v>129</v>
      </c>
      <c r="U68" s="20"/>
    </row>
    <row r="69" spans="1:21" ht="18" x14ac:dyDescent="0.35">
      <c r="A69" s="19">
        <v>15</v>
      </c>
      <c r="B69" s="20" t="s">
        <v>608</v>
      </c>
      <c r="C69" s="20" t="s">
        <v>3</v>
      </c>
      <c r="D69" s="21">
        <v>365</v>
      </c>
      <c r="E69" s="26">
        <f>D69*0.13/6</f>
        <v>7.9083333333333341</v>
      </c>
      <c r="F69" s="21">
        <v>38</v>
      </c>
      <c r="G69" s="26">
        <f>D69*0.13/F69</f>
        <v>1.2486842105263158</v>
      </c>
      <c r="H69" s="25">
        <f t="shared" si="8"/>
        <v>0.20811403508771931</v>
      </c>
      <c r="K69" s="21">
        <v>100</v>
      </c>
      <c r="L69" s="21">
        <v>60</v>
      </c>
      <c r="M69" s="21" t="s">
        <v>120</v>
      </c>
      <c r="N69" s="21" t="s">
        <v>621</v>
      </c>
      <c r="O69" s="21">
        <v>2920</v>
      </c>
      <c r="P69" s="21">
        <f t="shared" si="9"/>
        <v>8</v>
      </c>
      <c r="S69" s="22" t="s">
        <v>130</v>
      </c>
      <c r="U69" s="20"/>
    </row>
    <row r="70" spans="1:21" ht="18" x14ac:dyDescent="0.35">
      <c r="A70" s="19">
        <v>16</v>
      </c>
      <c r="B70" s="20" t="s">
        <v>131</v>
      </c>
      <c r="C70" s="20" t="s">
        <v>3</v>
      </c>
      <c r="D70" s="21">
        <v>1251</v>
      </c>
      <c r="E70" s="26">
        <f>D70*0.121/8</f>
        <v>18.921375000000001</v>
      </c>
      <c r="F70" s="21" t="s">
        <v>132</v>
      </c>
      <c r="H70" s="25"/>
      <c r="K70" s="21">
        <v>96.4</v>
      </c>
      <c r="L70" s="21">
        <v>65</v>
      </c>
      <c r="M70" s="21" t="s">
        <v>120</v>
      </c>
      <c r="N70" s="21" t="s">
        <v>621</v>
      </c>
      <c r="O70" s="21">
        <v>2222</v>
      </c>
      <c r="P70" s="26">
        <f t="shared" si="9"/>
        <v>1.7761790567545963</v>
      </c>
      <c r="S70" s="22" t="s">
        <v>133</v>
      </c>
      <c r="U70" s="20"/>
    </row>
    <row r="71" spans="1:21" ht="18" x14ac:dyDescent="0.35">
      <c r="A71" s="19">
        <v>17</v>
      </c>
      <c r="B71" s="20" t="s">
        <v>135</v>
      </c>
      <c r="C71" s="20" t="s">
        <v>3</v>
      </c>
      <c r="D71" s="21">
        <v>659</v>
      </c>
      <c r="E71" s="26">
        <f>D71*0.382/3</f>
        <v>83.912666666666667</v>
      </c>
      <c r="F71" s="21">
        <v>0.44</v>
      </c>
      <c r="G71" s="25">
        <f>D71*0.382/F71</f>
        <v>572.13181818181818</v>
      </c>
      <c r="H71" s="25">
        <f t="shared" si="8"/>
        <v>190.71060606060607</v>
      </c>
      <c r="K71" s="21">
        <v>96.1</v>
      </c>
      <c r="L71" s="21">
        <v>70</v>
      </c>
      <c r="M71" s="21" t="s">
        <v>60</v>
      </c>
      <c r="N71" s="21" t="s">
        <v>621</v>
      </c>
      <c r="O71" s="21">
        <v>2174</v>
      </c>
      <c r="P71" s="26">
        <f t="shared" si="9"/>
        <v>3.2989377845220029</v>
      </c>
      <c r="S71" s="22" t="s">
        <v>134</v>
      </c>
      <c r="U71" s="20"/>
    </row>
    <row r="72" spans="1:21" ht="18" x14ac:dyDescent="0.35">
      <c r="A72" s="19">
        <v>18</v>
      </c>
      <c r="B72" s="20" t="s">
        <v>136</v>
      </c>
      <c r="C72" s="20" t="s">
        <v>3</v>
      </c>
      <c r="D72" s="21">
        <v>1244</v>
      </c>
      <c r="E72" s="26">
        <f>D72*0.645/33</f>
        <v>24.314545454545453</v>
      </c>
      <c r="F72" s="21" t="s">
        <v>137</v>
      </c>
      <c r="H72" s="25"/>
      <c r="K72" s="21">
        <v>92.9</v>
      </c>
      <c r="L72" s="21">
        <v>60</v>
      </c>
      <c r="M72" s="21" t="s">
        <v>120</v>
      </c>
      <c r="N72" s="21" t="s">
        <v>621</v>
      </c>
      <c r="O72" s="21">
        <v>3520</v>
      </c>
      <c r="P72" s="26">
        <f t="shared" si="9"/>
        <v>2.829581993569132</v>
      </c>
      <c r="S72" s="22" t="s">
        <v>138</v>
      </c>
      <c r="U72" s="20"/>
    </row>
    <row r="73" spans="1:21" ht="18" x14ac:dyDescent="0.35">
      <c r="A73" s="19">
        <v>19</v>
      </c>
      <c r="B73" s="20" t="s">
        <v>140</v>
      </c>
      <c r="C73" s="20" t="s">
        <v>3</v>
      </c>
      <c r="D73" s="25">
        <v>658.82352941176475</v>
      </c>
      <c r="E73" s="26">
        <f>D73*0.318/3</f>
        <v>69.835294117647067</v>
      </c>
      <c r="F73" s="21" t="s">
        <v>139</v>
      </c>
      <c r="H73" s="25"/>
      <c r="K73" s="21">
        <v>94.9</v>
      </c>
      <c r="L73" s="21">
        <v>70</v>
      </c>
      <c r="M73" s="21" t="s">
        <v>60</v>
      </c>
      <c r="N73" s="21" t="s">
        <v>621</v>
      </c>
      <c r="O73" s="21">
        <v>2174</v>
      </c>
      <c r="P73" s="26">
        <f t="shared" si="9"/>
        <v>3.2998214285714282</v>
      </c>
      <c r="S73" s="22" t="s">
        <v>141</v>
      </c>
      <c r="U73" s="20"/>
    </row>
    <row r="74" spans="1:21" ht="18" x14ac:dyDescent="0.35">
      <c r="A74" s="19">
        <v>20</v>
      </c>
      <c r="B74" s="20" t="s">
        <v>609</v>
      </c>
      <c r="C74" s="20" t="s">
        <v>3</v>
      </c>
      <c r="D74" s="21">
        <v>333</v>
      </c>
      <c r="E74" s="26">
        <f>D74*0.6/24</f>
        <v>8.3249999999999993</v>
      </c>
      <c r="F74" s="21">
        <v>3.3</v>
      </c>
      <c r="G74" s="24">
        <f>D74*0.6/F74</f>
        <v>60.545454545454547</v>
      </c>
      <c r="H74" s="25">
        <f t="shared" si="8"/>
        <v>2.5227272727272725</v>
      </c>
      <c r="K74" s="21">
        <v>93</v>
      </c>
      <c r="L74" s="21">
        <v>50</v>
      </c>
      <c r="M74" s="21" t="s">
        <v>60</v>
      </c>
      <c r="N74" s="21" t="s">
        <v>621</v>
      </c>
      <c r="O74" s="21">
        <v>1003</v>
      </c>
      <c r="P74" s="26">
        <f t="shared" si="9"/>
        <v>3.0120120120120122</v>
      </c>
      <c r="S74" s="22" t="s">
        <v>142</v>
      </c>
      <c r="U74" s="20"/>
    </row>
    <row r="75" spans="1:21" ht="18.75" x14ac:dyDescent="0.35">
      <c r="A75" s="19">
        <v>21</v>
      </c>
      <c r="B75" s="20" t="s">
        <v>610</v>
      </c>
      <c r="C75" s="20" t="s">
        <v>3</v>
      </c>
      <c r="D75" s="21">
        <v>442105</v>
      </c>
      <c r="E75" s="26">
        <f>4/118</f>
        <v>3.3898305084745763E-2</v>
      </c>
      <c r="F75" s="21">
        <v>0.2</v>
      </c>
      <c r="G75" s="21">
        <v>4320</v>
      </c>
      <c r="H75" s="25">
        <f t="shared" si="8"/>
        <v>0.16949152542372881</v>
      </c>
      <c r="K75" s="21" t="s">
        <v>63</v>
      </c>
      <c r="L75" s="21">
        <v>25</v>
      </c>
      <c r="M75" s="21" t="s">
        <v>143</v>
      </c>
      <c r="N75" s="21" t="s">
        <v>621</v>
      </c>
      <c r="O75" s="21">
        <v>442105</v>
      </c>
      <c r="P75" s="21">
        <f t="shared" si="9"/>
        <v>1</v>
      </c>
      <c r="S75" s="22" t="s">
        <v>144</v>
      </c>
      <c r="U75" s="20"/>
    </row>
    <row r="76" spans="1:21" ht="18" x14ac:dyDescent="0.35">
      <c r="A76" s="19">
        <v>22</v>
      </c>
      <c r="B76" s="28" t="s">
        <v>145</v>
      </c>
      <c r="C76" s="20" t="s">
        <v>3</v>
      </c>
      <c r="D76" s="25">
        <v>811.68831168831173</v>
      </c>
      <c r="E76" s="25">
        <v>117.6948051948052</v>
      </c>
      <c r="F76" s="21" t="s">
        <v>146</v>
      </c>
      <c r="H76" s="25"/>
      <c r="K76" s="21">
        <v>100</v>
      </c>
      <c r="L76" s="21">
        <v>25</v>
      </c>
      <c r="N76" s="21" t="s">
        <v>665</v>
      </c>
      <c r="O76" s="25">
        <v>2435.0649350649351</v>
      </c>
      <c r="P76" s="21">
        <f t="shared" si="9"/>
        <v>3</v>
      </c>
      <c r="S76" s="22" t="s">
        <v>147</v>
      </c>
      <c r="U76" s="20"/>
    </row>
    <row r="77" spans="1:21" ht="18.75" x14ac:dyDescent="0.35">
      <c r="A77" s="19">
        <v>23</v>
      </c>
      <c r="B77" s="28" t="s">
        <v>165</v>
      </c>
      <c r="C77" s="20" t="s">
        <v>167</v>
      </c>
      <c r="D77" s="25">
        <v>30</v>
      </c>
      <c r="E77" s="26">
        <v>18.600000000000001</v>
      </c>
      <c r="F77" s="21">
        <v>2</v>
      </c>
      <c r="G77" s="24"/>
      <c r="H77" s="25">
        <f t="shared" si="8"/>
        <v>9.3000000000000007</v>
      </c>
      <c r="K77" s="21">
        <v>88</v>
      </c>
      <c r="L77" s="21">
        <v>20</v>
      </c>
      <c r="M77" s="21" t="s">
        <v>659</v>
      </c>
      <c r="P77" s="21">
        <f t="shared" si="9"/>
        <v>0</v>
      </c>
      <c r="Q77" s="21" t="s">
        <v>168</v>
      </c>
      <c r="S77" s="22" t="s">
        <v>169</v>
      </c>
      <c r="U77" s="20"/>
    </row>
    <row r="78" spans="1:21" ht="31.5" x14ac:dyDescent="0.35">
      <c r="A78" s="19">
        <v>24</v>
      </c>
      <c r="B78" s="3" t="s">
        <v>657</v>
      </c>
      <c r="C78" s="20" t="s">
        <v>96</v>
      </c>
      <c r="D78" s="21">
        <v>321</v>
      </c>
      <c r="E78" s="24">
        <f>D78*0.157/1</f>
        <v>50.396999999999998</v>
      </c>
      <c r="F78" s="24">
        <v>3.21</v>
      </c>
      <c r="G78" s="21">
        <f>D78*0.157/F78</f>
        <v>15.7</v>
      </c>
      <c r="H78" s="25">
        <f t="shared" si="8"/>
        <v>15.7</v>
      </c>
      <c r="K78" s="23" t="s">
        <v>124</v>
      </c>
      <c r="L78" s="21">
        <v>30</v>
      </c>
      <c r="M78" s="21" t="s">
        <v>120</v>
      </c>
      <c r="N78" s="21" t="s">
        <v>621</v>
      </c>
      <c r="O78" s="21">
        <v>321</v>
      </c>
      <c r="P78" s="21">
        <f t="shared" si="9"/>
        <v>1</v>
      </c>
      <c r="S78" s="22" t="s">
        <v>121</v>
      </c>
      <c r="U78" s="20"/>
    </row>
    <row r="79" spans="1:21" ht="76.5" x14ac:dyDescent="0.35">
      <c r="A79" s="19">
        <v>25</v>
      </c>
      <c r="B79" s="20" t="s">
        <v>611</v>
      </c>
      <c r="C79" s="20" t="s">
        <v>96</v>
      </c>
      <c r="D79" s="21">
        <v>1290</v>
      </c>
      <c r="E79" s="25">
        <f>D79*0.051/1</f>
        <v>65.789999999999992</v>
      </c>
      <c r="F79" s="21">
        <v>56.7</v>
      </c>
      <c r="G79" s="21">
        <v>5.12</v>
      </c>
      <c r="H79" s="25">
        <f t="shared" si="8"/>
        <v>1.1603174603174602</v>
      </c>
      <c r="K79" s="23" t="s">
        <v>268</v>
      </c>
      <c r="L79" s="21">
        <v>25</v>
      </c>
      <c r="M79" s="21" t="s">
        <v>120</v>
      </c>
      <c r="N79" s="21" t="s">
        <v>621</v>
      </c>
      <c r="O79" s="21">
        <v>1547</v>
      </c>
      <c r="P79" s="26">
        <f t="shared" si="9"/>
        <v>1.1992248062015505</v>
      </c>
      <c r="S79" s="22" t="s">
        <v>125</v>
      </c>
      <c r="U79" s="20"/>
    </row>
    <row r="80" spans="1:21" ht="46.5" x14ac:dyDescent="0.35">
      <c r="A80" s="19">
        <v>26</v>
      </c>
      <c r="B80" s="20" t="s">
        <v>603</v>
      </c>
      <c r="C80" s="20" t="s">
        <v>96</v>
      </c>
      <c r="D80" s="21">
        <v>1290</v>
      </c>
      <c r="E80" s="25">
        <f>D80*0.089/1</f>
        <v>114.80999999999999</v>
      </c>
      <c r="F80" s="21">
        <v>56.7</v>
      </c>
      <c r="G80" s="21">
        <v>4.45</v>
      </c>
      <c r="H80" s="25">
        <f t="shared" si="8"/>
        <v>2.0248677248677245</v>
      </c>
      <c r="K80" s="23" t="s">
        <v>269</v>
      </c>
      <c r="L80" s="21">
        <v>25</v>
      </c>
      <c r="M80" s="21" t="s">
        <v>120</v>
      </c>
      <c r="N80" s="21" t="s">
        <v>621</v>
      </c>
      <c r="O80" s="21">
        <v>1547</v>
      </c>
      <c r="P80" s="26">
        <f t="shared" si="9"/>
        <v>1.1992248062015505</v>
      </c>
      <c r="S80" s="22" t="s">
        <v>125</v>
      </c>
      <c r="U80" s="20"/>
    </row>
    <row r="81" spans="1:21" ht="18" x14ac:dyDescent="0.35">
      <c r="A81" s="19">
        <v>27</v>
      </c>
      <c r="B81" s="20" t="s">
        <v>231</v>
      </c>
      <c r="C81" s="20" t="s">
        <v>220</v>
      </c>
      <c r="D81" s="21">
        <v>250</v>
      </c>
      <c r="E81" s="26">
        <f>D81*0.99/2</f>
        <v>123.75</v>
      </c>
      <c r="F81" s="21">
        <v>2.35E-2</v>
      </c>
      <c r="G81" s="25">
        <f>D81*0.99/F81</f>
        <v>10531.91489361702</v>
      </c>
      <c r="H81" s="25">
        <f t="shared" si="8"/>
        <v>5265.9574468085102</v>
      </c>
      <c r="K81" s="21" t="s">
        <v>232</v>
      </c>
      <c r="L81" s="21">
        <v>25</v>
      </c>
      <c r="M81" s="21" t="s">
        <v>233</v>
      </c>
      <c r="N81" s="21" t="s">
        <v>664</v>
      </c>
      <c r="O81" s="21" t="s">
        <v>1</v>
      </c>
      <c r="Q81" s="23" t="s">
        <v>235</v>
      </c>
      <c r="R81" s="21">
        <v>1250</v>
      </c>
      <c r="S81" s="22" t="s">
        <v>234</v>
      </c>
      <c r="U81" s="20"/>
    </row>
    <row r="82" spans="1:21" ht="18" x14ac:dyDescent="0.35">
      <c r="A82" s="19">
        <v>28</v>
      </c>
      <c r="B82" s="20" t="s">
        <v>231</v>
      </c>
      <c r="C82" s="20" t="s">
        <v>236</v>
      </c>
      <c r="D82" s="21">
        <v>250</v>
      </c>
      <c r="E82" s="26">
        <f>D82*0.99/1.5</f>
        <v>165</v>
      </c>
      <c r="F82" s="21">
        <v>2.35E-2</v>
      </c>
      <c r="G82" s="25">
        <f>D82*0.99/F82</f>
        <v>10531.91489361702</v>
      </c>
      <c r="H82" s="25">
        <f t="shared" si="8"/>
        <v>7021.2765957446809</v>
      </c>
      <c r="K82" s="21" t="s">
        <v>237</v>
      </c>
      <c r="L82" s="21">
        <v>25</v>
      </c>
      <c r="M82" s="21" t="s">
        <v>572</v>
      </c>
      <c r="N82" s="21" t="s">
        <v>664</v>
      </c>
      <c r="O82" s="21" t="s">
        <v>1</v>
      </c>
      <c r="Q82" s="21" t="s">
        <v>238</v>
      </c>
      <c r="R82" s="21">
        <f>250*5</f>
        <v>1250</v>
      </c>
      <c r="S82" s="22" t="s">
        <v>234</v>
      </c>
      <c r="U82" s="20"/>
    </row>
    <row r="83" spans="1:21" ht="18" x14ac:dyDescent="0.35">
      <c r="A83" s="19">
        <v>29</v>
      </c>
      <c r="B83" s="3" t="s">
        <v>217</v>
      </c>
      <c r="C83" s="20" t="s">
        <v>220</v>
      </c>
      <c r="D83" s="21">
        <v>400</v>
      </c>
      <c r="E83" s="24">
        <f>D83*0.99/4</f>
        <v>99</v>
      </c>
      <c r="F83" s="21">
        <v>4.0000000000000002E-4</v>
      </c>
      <c r="G83" s="25">
        <f>D83*0.99/F83</f>
        <v>990000</v>
      </c>
      <c r="H83" s="25">
        <f t="shared" si="8"/>
        <v>247500</v>
      </c>
      <c r="K83" s="21" t="s">
        <v>199</v>
      </c>
      <c r="L83" s="21" t="s">
        <v>37</v>
      </c>
      <c r="M83" s="21" t="s">
        <v>566</v>
      </c>
      <c r="N83" s="21" t="s">
        <v>664</v>
      </c>
      <c r="O83" s="23" t="s">
        <v>1</v>
      </c>
      <c r="Q83" s="21" t="s">
        <v>218</v>
      </c>
      <c r="R83" s="21">
        <v>2000</v>
      </c>
      <c r="S83" s="46" t="s">
        <v>219</v>
      </c>
    </row>
    <row r="84" spans="1:21" ht="18.75" x14ac:dyDescent="0.35">
      <c r="A84" s="19">
        <v>30</v>
      </c>
      <c r="B84" s="3" t="s">
        <v>223</v>
      </c>
      <c r="C84" s="20" t="s">
        <v>220</v>
      </c>
      <c r="E84" s="24"/>
      <c r="F84" s="21" t="s">
        <v>222</v>
      </c>
      <c r="G84" s="26"/>
      <c r="H84" s="25"/>
      <c r="K84" s="48">
        <v>0.96599999999999997</v>
      </c>
      <c r="L84" s="21" t="s">
        <v>37</v>
      </c>
      <c r="M84" s="21" t="s">
        <v>572</v>
      </c>
      <c r="N84" s="21" t="s">
        <v>621</v>
      </c>
      <c r="O84" s="23" t="s">
        <v>221</v>
      </c>
      <c r="S84" s="46" t="s">
        <v>224</v>
      </c>
    </row>
    <row r="85" spans="1:21" ht="18.75" x14ac:dyDescent="0.35">
      <c r="A85" s="19">
        <v>31</v>
      </c>
      <c r="B85" s="3" t="s">
        <v>226</v>
      </c>
      <c r="C85" s="20" t="s">
        <v>220</v>
      </c>
      <c r="D85" s="21">
        <v>200</v>
      </c>
      <c r="E85" s="24">
        <f>O85*0.45/4</f>
        <v>1.125</v>
      </c>
      <c r="F85" s="21">
        <v>0.2</v>
      </c>
      <c r="G85" s="26">
        <f>O85*0.45/F85</f>
        <v>22.5</v>
      </c>
      <c r="H85" s="25">
        <f t="shared" si="8"/>
        <v>5.625</v>
      </c>
      <c r="K85" s="21" t="s">
        <v>199</v>
      </c>
      <c r="L85" s="21">
        <v>-60</v>
      </c>
      <c r="M85" s="21" t="s">
        <v>660</v>
      </c>
      <c r="N85" s="21" t="s">
        <v>612</v>
      </c>
      <c r="O85" s="23">
        <v>10</v>
      </c>
      <c r="P85" s="21">
        <f t="shared" si="9"/>
        <v>0.05</v>
      </c>
      <c r="S85" s="22" t="s">
        <v>225</v>
      </c>
    </row>
    <row r="86" spans="1:21" ht="18" x14ac:dyDescent="0.35">
      <c r="A86" s="19">
        <v>32</v>
      </c>
      <c r="B86" s="3" t="s">
        <v>229</v>
      </c>
      <c r="C86" s="20" t="s">
        <v>220</v>
      </c>
      <c r="D86" s="21">
        <v>400</v>
      </c>
      <c r="E86" s="24">
        <f>D86*0.98/8</f>
        <v>49</v>
      </c>
      <c r="F86" s="21">
        <v>3.4000000000000002E-2</v>
      </c>
      <c r="G86" s="25">
        <f>D86*0.98/F86</f>
        <v>11529.411764705881</v>
      </c>
      <c r="H86" s="25">
        <f t="shared" si="8"/>
        <v>1441.1764705882351</v>
      </c>
      <c r="K86" s="49">
        <v>0.88</v>
      </c>
      <c r="L86" s="21">
        <v>25</v>
      </c>
      <c r="M86" s="21" t="s">
        <v>254</v>
      </c>
      <c r="N86" s="21" t="s">
        <v>664</v>
      </c>
      <c r="O86" s="23" t="s">
        <v>1</v>
      </c>
      <c r="Q86" s="23" t="s">
        <v>228</v>
      </c>
      <c r="R86" s="21" t="s">
        <v>227</v>
      </c>
      <c r="S86" s="22" t="s">
        <v>230</v>
      </c>
    </row>
    <row r="87" spans="1:21" ht="46.5" x14ac:dyDescent="0.35">
      <c r="A87" s="19">
        <v>33</v>
      </c>
      <c r="B87" s="4" t="s">
        <v>242</v>
      </c>
      <c r="C87" s="20" t="s">
        <v>241</v>
      </c>
      <c r="D87" s="21">
        <v>1000</v>
      </c>
      <c r="E87" s="24">
        <f>D87*0.62/2</f>
        <v>310</v>
      </c>
      <c r="F87" s="21">
        <v>1</v>
      </c>
      <c r="G87" s="25">
        <f>D87*0.62/F87</f>
        <v>620</v>
      </c>
      <c r="H87" s="25">
        <f t="shared" si="8"/>
        <v>310</v>
      </c>
      <c r="I87" s="21" t="s">
        <v>239</v>
      </c>
      <c r="M87" s="21" t="s">
        <v>661</v>
      </c>
      <c r="N87" s="21" t="s">
        <v>621</v>
      </c>
      <c r="O87" s="23">
        <v>100</v>
      </c>
      <c r="P87" s="21">
        <f t="shared" si="9"/>
        <v>0.1</v>
      </c>
      <c r="Q87" s="21" t="s">
        <v>244</v>
      </c>
      <c r="R87" s="21">
        <v>10</v>
      </c>
      <c r="S87" s="46" t="s">
        <v>240</v>
      </c>
    </row>
    <row r="88" spans="1:21" ht="46.5" x14ac:dyDescent="0.35">
      <c r="A88" s="19">
        <v>34</v>
      </c>
      <c r="B88" s="4" t="s">
        <v>245</v>
      </c>
      <c r="C88" s="20" t="s">
        <v>241</v>
      </c>
      <c r="D88" s="21">
        <v>40</v>
      </c>
      <c r="E88" s="24">
        <f>D88*0.98/2</f>
        <v>19.600000000000001</v>
      </c>
      <c r="F88" s="21">
        <v>1</v>
      </c>
      <c r="G88" s="25">
        <f>D88*0.98/F88</f>
        <v>39.200000000000003</v>
      </c>
      <c r="H88" s="25">
        <f t="shared" si="8"/>
        <v>19.600000000000001</v>
      </c>
      <c r="I88" s="21" t="s">
        <v>243</v>
      </c>
      <c r="M88" s="21" t="s">
        <v>661</v>
      </c>
      <c r="N88" s="21" t="s">
        <v>621</v>
      </c>
      <c r="O88" s="23">
        <v>200</v>
      </c>
      <c r="P88" s="21">
        <f t="shared" si="9"/>
        <v>5</v>
      </c>
      <c r="Q88" s="21" t="s">
        <v>244</v>
      </c>
      <c r="R88" s="21">
        <v>24</v>
      </c>
      <c r="S88" s="46" t="s">
        <v>240</v>
      </c>
    </row>
    <row r="89" spans="1:21" ht="18" x14ac:dyDescent="0.35">
      <c r="A89" s="19">
        <v>35</v>
      </c>
      <c r="B89" s="3" t="s">
        <v>248</v>
      </c>
      <c r="C89" s="20" t="s">
        <v>241</v>
      </c>
      <c r="D89" s="21">
        <v>40.5</v>
      </c>
      <c r="E89" s="24">
        <f>D89*0.93/1</f>
        <v>37.664999999999999</v>
      </c>
      <c r="F89" s="21">
        <v>1</v>
      </c>
      <c r="G89" s="26">
        <f>D89*0.93/F89</f>
        <v>37.664999999999999</v>
      </c>
      <c r="H89" s="25">
        <f t="shared" si="8"/>
        <v>37.664999999999999</v>
      </c>
      <c r="I89" s="21" t="s">
        <v>247</v>
      </c>
      <c r="L89" s="21">
        <v>25</v>
      </c>
      <c r="M89" s="21" t="s">
        <v>246</v>
      </c>
      <c r="N89" s="21" t="s">
        <v>621</v>
      </c>
      <c r="O89" s="23">
        <v>121.5</v>
      </c>
      <c r="P89" s="21">
        <f t="shared" si="9"/>
        <v>3</v>
      </c>
      <c r="Q89" s="21" t="s">
        <v>244</v>
      </c>
      <c r="R89" s="21">
        <v>23.25</v>
      </c>
      <c r="S89" s="46" t="s">
        <v>42</v>
      </c>
    </row>
    <row r="90" spans="1:21" ht="18" x14ac:dyDescent="0.35">
      <c r="A90" s="19">
        <v>36</v>
      </c>
      <c r="B90" s="3" t="s">
        <v>249</v>
      </c>
      <c r="C90" s="20" t="s">
        <v>250</v>
      </c>
      <c r="D90" s="21">
        <v>400</v>
      </c>
      <c r="E90" s="24">
        <f>D90*1/8</f>
        <v>50</v>
      </c>
      <c r="F90" s="21">
        <v>2.8E-3</v>
      </c>
      <c r="G90" s="25">
        <f>D90*1/F90</f>
        <v>142857.14285714287</v>
      </c>
      <c r="H90" s="25">
        <f t="shared" si="8"/>
        <v>17857.142857142859</v>
      </c>
      <c r="I90" s="21" t="s">
        <v>251</v>
      </c>
      <c r="K90" s="21" t="s">
        <v>255</v>
      </c>
      <c r="L90" s="21">
        <v>25</v>
      </c>
      <c r="M90" s="21" t="s">
        <v>613</v>
      </c>
      <c r="N90" s="21" t="s">
        <v>664</v>
      </c>
      <c r="O90" s="23" t="s">
        <v>1</v>
      </c>
      <c r="Q90" s="21" t="s">
        <v>252</v>
      </c>
      <c r="R90" s="21">
        <v>1000</v>
      </c>
      <c r="S90" s="22" t="s">
        <v>253</v>
      </c>
    </row>
    <row r="91" spans="1:21" ht="46.5" x14ac:dyDescent="0.35">
      <c r="A91" s="19">
        <v>37</v>
      </c>
      <c r="B91" s="3" t="s">
        <v>249</v>
      </c>
      <c r="C91" s="20" t="s">
        <v>614</v>
      </c>
      <c r="D91" s="21">
        <v>200</v>
      </c>
      <c r="E91" s="24">
        <f>D91*1/8</f>
        <v>25</v>
      </c>
      <c r="F91" s="21">
        <v>2.8E-3</v>
      </c>
      <c r="G91" s="25">
        <f>D91*1/F91</f>
        <v>71428.571428571435</v>
      </c>
      <c r="H91" s="25">
        <f t="shared" si="8"/>
        <v>8928.5714285714294</v>
      </c>
      <c r="I91" s="21" t="s">
        <v>256</v>
      </c>
      <c r="K91" s="23" t="s">
        <v>257</v>
      </c>
      <c r="L91" s="21">
        <v>25</v>
      </c>
      <c r="M91" s="21" t="s">
        <v>613</v>
      </c>
      <c r="N91" s="21" t="s">
        <v>664</v>
      </c>
      <c r="O91" s="23" t="s">
        <v>1</v>
      </c>
      <c r="Q91" s="21" t="s">
        <v>252</v>
      </c>
      <c r="R91" s="21">
        <v>1000</v>
      </c>
      <c r="S91" s="22" t="s">
        <v>253</v>
      </c>
    </row>
    <row r="92" spans="1:21" ht="31.5" x14ac:dyDescent="0.35">
      <c r="A92" s="19">
        <v>38</v>
      </c>
      <c r="B92" s="3" t="s">
        <v>264</v>
      </c>
      <c r="C92" s="20" t="s">
        <v>241</v>
      </c>
      <c r="D92" s="21">
        <v>400</v>
      </c>
      <c r="E92" s="24">
        <f>D92*1/8</f>
        <v>50</v>
      </c>
      <c r="F92" s="21">
        <v>12.74</v>
      </c>
      <c r="G92" s="26">
        <f>D92*1/F92</f>
        <v>31.397174254317111</v>
      </c>
      <c r="H92" s="25">
        <f t="shared" si="8"/>
        <v>3.9246467817896389</v>
      </c>
      <c r="I92" s="21" t="s">
        <v>258</v>
      </c>
      <c r="K92" s="23" t="s">
        <v>259</v>
      </c>
      <c r="L92" s="21">
        <v>45</v>
      </c>
      <c r="M92" s="21" t="s">
        <v>613</v>
      </c>
      <c r="N92" s="21" t="s">
        <v>664</v>
      </c>
      <c r="O92" s="23" t="s">
        <v>1</v>
      </c>
      <c r="Q92" s="23" t="s">
        <v>228</v>
      </c>
      <c r="R92" s="21" t="s">
        <v>262</v>
      </c>
      <c r="S92" s="46" t="s">
        <v>263</v>
      </c>
    </row>
    <row r="93" spans="1:21" ht="31.5" x14ac:dyDescent="0.35">
      <c r="A93" s="19">
        <v>39</v>
      </c>
      <c r="B93" s="3" t="s">
        <v>336</v>
      </c>
      <c r="C93" s="20" t="s">
        <v>241</v>
      </c>
      <c r="D93" s="21">
        <v>400</v>
      </c>
      <c r="E93" s="24">
        <f>D93*1/2</f>
        <v>200</v>
      </c>
      <c r="F93" s="21">
        <v>12.74</v>
      </c>
      <c r="G93" s="26">
        <f>D93*1/F93</f>
        <v>31.397174254317111</v>
      </c>
      <c r="H93" s="25">
        <f t="shared" si="8"/>
        <v>15.698587127158556</v>
      </c>
      <c r="I93" s="21" t="s">
        <v>260</v>
      </c>
      <c r="K93" s="23" t="s">
        <v>261</v>
      </c>
      <c r="L93" s="21">
        <v>45</v>
      </c>
      <c r="M93" s="21" t="s">
        <v>613</v>
      </c>
      <c r="N93" s="21" t="s">
        <v>664</v>
      </c>
      <c r="O93" s="23" t="s">
        <v>1</v>
      </c>
      <c r="Q93" s="23" t="s">
        <v>228</v>
      </c>
      <c r="R93" s="21" t="s">
        <v>262</v>
      </c>
      <c r="S93" s="46" t="s">
        <v>263</v>
      </c>
    </row>
    <row r="94" spans="1:21" ht="18" x14ac:dyDescent="0.35">
      <c r="A94" s="19">
        <v>40</v>
      </c>
      <c r="B94" s="3" t="s">
        <v>264</v>
      </c>
      <c r="C94" s="20" t="s">
        <v>266</v>
      </c>
      <c r="D94" s="21">
        <v>400</v>
      </c>
      <c r="E94" s="24">
        <f>D94*0.9/8</f>
        <v>45</v>
      </c>
      <c r="F94" s="21">
        <v>12.74</v>
      </c>
      <c r="G94" s="26">
        <f>D94*0.9/F94</f>
        <v>28.257456828885399</v>
      </c>
      <c r="H94" s="25">
        <f t="shared" si="8"/>
        <v>3.5321821036106749</v>
      </c>
      <c r="I94" s="21" t="s">
        <v>265</v>
      </c>
      <c r="K94" s="23">
        <v>100</v>
      </c>
      <c r="L94" s="21">
        <v>45</v>
      </c>
      <c r="M94" s="21" t="s">
        <v>613</v>
      </c>
      <c r="N94" s="21" t="s">
        <v>664</v>
      </c>
      <c r="O94" s="23" t="s">
        <v>1</v>
      </c>
      <c r="Q94" s="23" t="s">
        <v>228</v>
      </c>
      <c r="R94" s="21" t="s">
        <v>262</v>
      </c>
      <c r="S94" s="46" t="s">
        <v>263</v>
      </c>
    </row>
    <row r="95" spans="1:21" ht="18" x14ac:dyDescent="0.35">
      <c r="A95" s="19">
        <v>41</v>
      </c>
      <c r="B95" s="3" t="s">
        <v>264</v>
      </c>
      <c r="C95" s="20" t="s">
        <v>267</v>
      </c>
      <c r="D95" s="21">
        <v>400</v>
      </c>
      <c r="E95" s="24">
        <f>D95*0.79/8</f>
        <v>39.5</v>
      </c>
      <c r="F95" s="21">
        <v>12.74</v>
      </c>
      <c r="G95" s="26">
        <f>D95*0.79/F95</f>
        <v>24.803767660910516</v>
      </c>
      <c r="H95" s="25">
        <f t="shared" si="8"/>
        <v>3.1004709576138145</v>
      </c>
      <c r="I95" s="21" t="s">
        <v>265</v>
      </c>
      <c r="K95" s="23">
        <v>100</v>
      </c>
      <c r="L95" s="21">
        <v>45</v>
      </c>
      <c r="M95" s="21" t="s">
        <v>613</v>
      </c>
      <c r="N95" s="21" t="s">
        <v>664</v>
      </c>
      <c r="O95" s="23" t="s">
        <v>1</v>
      </c>
      <c r="Q95" s="23" t="s">
        <v>228</v>
      </c>
      <c r="R95" s="21" t="s">
        <v>262</v>
      </c>
      <c r="S95" s="46" t="s">
        <v>263</v>
      </c>
    </row>
    <row r="96" spans="1:21" ht="18" x14ac:dyDescent="0.35">
      <c r="A96" s="19">
        <v>42</v>
      </c>
      <c r="B96" s="3" t="s">
        <v>656</v>
      </c>
      <c r="C96" s="20" t="s">
        <v>241</v>
      </c>
      <c r="D96" s="25">
        <f>0.457/104/5*1000000</f>
        <v>878.84615384615392</v>
      </c>
      <c r="E96" s="24"/>
      <c r="F96" s="21" t="s">
        <v>524</v>
      </c>
      <c r="G96" s="26"/>
      <c r="H96" s="25"/>
      <c r="K96" s="23"/>
      <c r="L96" s="21">
        <v>78</v>
      </c>
      <c r="O96" s="50">
        <f>1.12*0.7*1000/5*1000/90.12</f>
        <v>1739.9023524189968</v>
      </c>
      <c r="P96" s="24">
        <f t="shared" si="9"/>
        <v>1.9797576001266481</v>
      </c>
      <c r="Q96" s="23"/>
      <c r="S96" s="46" t="s">
        <v>525</v>
      </c>
    </row>
    <row r="97" spans="1:22" x14ac:dyDescent="0.25">
      <c r="A97" s="19">
        <v>43</v>
      </c>
      <c r="B97" s="3" t="s">
        <v>522</v>
      </c>
      <c r="C97" s="20" t="s">
        <v>521</v>
      </c>
      <c r="D97" s="21">
        <f>0.2/1*1000</f>
        <v>200</v>
      </c>
      <c r="E97" s="24"/>
      <c r="F97" s="21">
        <f>0.002/1*1000</f>
        <v>2</v>
      </c>
      <c r="G97" s="26">
        <f>D97*0.24/F97</f>
        <v>24</v>
      </c>
      <c r="H97" s="25">
        <f t="shared" si="8"/>
        <v>0</v>
      </c>
      <c r="K97" s="23"/>
      <c r="N97" s="21" t="s">
        <v>173</v>
      </c>
      <c r="O97" s="23">
        <f>0.02/1*1000</f>
        <v>20</v>
      </c>
      <c r="P97" s="21">
        <f t="shared" si="9"/>
        <v>0.1</v>
      </c>
      <c r="Q97" s="23"/>
      <c r="S97" s="46" t="s">
        <v>523</v>
      </c>
    </row>
    <row r="98" spans="1:22" x14ac:dyDescent="0.25">
      <c r="A98" s="19">
        <v>44</v>
      </c>
      <c r="B98" s="3" t="s">
        <v>519</v>
      </c>
      <c r="C98" s="20" t="s">
        <v>646</v>
      </c>
      <c r="D98" s="25">
        <f>0.25/1.5*1000</f>
        <v>166.66666666666666</v>
      </c>
      <c r="E98" s="24"/>
      <c r="F98" s="26">
        <f>D98*0.5/100</f>
        <v>0.83333333333333326</v>
      </c>
      <c r="G98" s="26">
        <f>0.86*D98/F98</f>
        <v>172</v>
      </c>
      <c r="H98" s="25">
        <f t="shared" si="8"/>
        <v>0</v>
      </c>
      <c r="K98" s="23"/>
      <c r="N98" s="21" t="s">
        <v>9</v>
      </c>
      <c r="O98" s="23">
        <f>1.5*D98</f>
        <v>250</v>
      </c>
      <c r="P98" s="21">
        <f t="shared" si="9"/>
        <v>1.5</v>
      </c>
      <c r="Q98" s="23"/>
      <c r="S98" s="46" t="s">
        <v>520</v>
      </c>
    </row>
    <row r="99" spans="1:22" ht="18" x14ac:dyDescent="0.35">
      <c r="A99" s="30">
        <v>45</v>
      </c>
      <c r="B99" s="5" t="s">
        <v>249</v>
      </c>
      <c r="C99" s="32" t="s">
        <v>266</v>
      </c>
      <c r="D99" s="33">
        <v>400</v>
      </c>
      <c r="E99" s="51">
        <f>D99*0.85/8</f>
        <v>42.5</v>
      </c>
      <c r="F99" s="33">
        <v>2.8E-3</v>
      </c>
      <c r="G99" s="52">
        <f>D99*0.85/F99</f>
        <v>121428.57142857143</v>
      </c>
      <c r="H99" s="52">
        <f t="shared" si="8"/>
        <v>15178.571428571429</v>
      </c>
      <c r="I99" s="33" t="s">
        <v>251</v>
      </c>
      <c r="J99" s="33"/>
      <c r="K99" s="33">
        <v>100</v>
      </c>
      <c r="L99" s="33">
        <v>25</v>
      </c>
      <c r="M99" s="33" t="s">
        <v>613</v>
      </c>
      <c r="N99" s="33" t="s">
        <v>664</v>
      </c>
      <c r="O99" s="34" t="s">
        <v>1</v>
      </c>
      <c r="P99" s="33"/>
      <c r="Q99" s="33" t="s">
        <v>252</v>
      </c>
      <c r="R99" s="33">
        <v>1000</v>
      </c>
      <c r="S99" s="36" t="s">
        <v>253</v>
      </c>
    </row>
    <row r="100" spans="1:22" ht="30" x14ac:dyDescent="0.25">
      <c r="A100" s="19">
        <v>46</v>
      </c>
      <c r="B100" s="20" t="s">
        <v>615</v>
      </c>
      <c r="C100" s="20" t="s">
        <v>241</v>
      </c>
      <c r="D100" s="21">
        <v>4</v>
      </c>
      <c r="E100" s="21">
        <f>D100*1/2</f>
        <v>2</v>
      </c>
      <c r="F100" s="23" t="s">
        <v>274</v>
      </c>
      <c r="H100" s="25"/>
      <c r="I100" s="21" t="s">
        <v>270</v>
      </c>
      <c r="K100" s="21">
        <v>100</v>
      </c>
      <c r="L100" s="21">
        <v>30</v>
      </c>
      <c r="M100" s="23" t="s">
        <v>271</v>
      </c>
      <c r="N100" s="21" t="s">
        <v>184</v>
      </c>
      <c r="O100" s="23" t="s">
        <v>1</v>
      </c>
      <c r="Q100" s="21" t="s">
        <v>275</v>
      </c>
      <c r="R100" s="21" t="s">
        <v>276</v>
      </c>
      <c r="S100" s="22" t="s">
        <v>273</v>
      </c>
    </row>
    <row r="101" spans="1:22" ht="30" x14ac:dyDescent="0.25">
      <c r="A101" s="19">
        <v>47</v>
      </c>
      <c r="B101" s="20" t="s">
        <v>616</v>
      </c>
      <c r="C101" s="20" t="s">
        <v>648</v>
      </c>
      <c r="D101" s="21">
        <v>4</v>
      </c>
      <c r="E101" s="21">
        <f>D101*0.17/2</f>
        <v>0.34</v>
      </c>
      <c r="F101" s="23" t="s">
        <v>274</v>
      </c>
      <c r="H101" s="25"/>
      <c r="I101" s="21" t="s">
        <v>272</v>
      </c>
      <c r="K101" s="21">
        <v>100</v>
      </c>
      <c r="L101" s="21">
        <v>30</v>
      </c>
      <c r="M101" s="23" t="s">
        <v>271</v>
      </c>
      <c r="N101" s="21" t="s">
        <v>184</v>
      </c>
      <c r="O101" s="23" t="s">
        <v>1</v>
      </c>
      <c r="Q101" s="21" t="s">
        <v>275</v>
      </c>
      <c r="R101" s="21" t="s">
        <v>276</v>
      </c>
      <c r="S101" s="22" t="s">
        <v>273</v>
      </c>
      <c r="V101" s="20"/>
    </row>
    <row r="102" spans="1:22" ht="30" x14ac:dyDescent="0.25">
      <c r="A102" s="19">
        <v>48</v>
      </c>
      <c r="B102" s="20" t="s">
        <v>617</v>
      </c>
      <c r="C102" s="20" t="s">
        <v>647</v>
      </c>
      <c r="D102" s="21">
        <v>4</v>
      </c>
      <c r="E102" s="21">
        <f>D102*0.46/2</f>
        <v>0.92</v>
      </c>
      <c r="F102" s="23" t="s">
        <v>274</v>
      </c>
      <c r="H102" s="25"/>
      <c r="I102" s="21" t="s">
        <v>67</v>
      </c>
      <c r="K102" s="21">
        <v>100</v>
      </c>
      <c r="L102" s="21">
        <v>30</v>
      </c>
      <c r="M102" s="23" t="s">
        <v>271</v>
      </c>
      <c r="N102" s="21" t="s">
        <v>184</v>
      </c>
      <c r="O102" s="23" t="s">
        <v>1</v>
      </c>
      <c r="Q102" s="21" t="s">
        <v>275</v>
      </c>
      <c r="R102" s="21" t="s">
        <v>276</v>
      </c>
      <c r="S102" s="22" t="s">
        <v>273</v>
      </c>
      <c r="V102" s="20"/>
    </row>
    <row r="103" spans="1:22" ht="45" x14ac:dyDescent="0.25">
      <c r="A103" s="19">
        <v>49</v>
      </c>
      <c r="B103" s="53" t="s">
        <v>278</v>
      </c>
      <c r="C103" s="20" t="s">
        <v>241</v>
      </c>
      <c r="D103" s="21">
        <v>50</v>
      </c>
      <c r="E103" s="26">
        <f>D103*0.99/16</f>
        <v>3.09375</v>
      </c>
      <c r="F103" s="23" t="s">
        <v>281</v>
      </c>
      <c r="H103" s="25"/>
      <c r="I103" s="21" t="s">
        <v>277</v>
      </c>
      <c r="K103" s="49">
        <v>0.99</v>
      </c>
      <c r="L103" s="21">
        <v>30</v>
      </c>
      <c r="M103" s="23" t="s">
        <v>279</v>
      </c>
      <c r="N103" s="21" t="s">
        <v>184</v>
      </c>
      <c r="O103" s="23" t="s">
        <v>1</v>
      </c>
      <c r="Q103" s="54" t="s">
        <v>618</v>
      </c>
      <c r="R103" s="23" t="s">
        <v>280</v>
      </c>
      <c r="S103" s="22" t="s">
        <v>283</v>
      </c>
    </row>
    <row r="104" spans="1:22" ht="31.5" customHeight="1" x14ac:dyDescent="0.25">
      <c r="A104" s="19">
        <v>50</v>
      </c>
      <c r="B104" s="53" t="s">
        <v>278</v>
      </c>
      <c r="C104" s="20" t="s">
        <v>649</v>
      </c>
      <c r="D104" s="21">
        <v>50</v>
      </c>
      <c r="E104" s="26">
        <f>D104*0.99/16</f>
        <v>3.09375</v>
      </c>
      <c r="F104" s="23" t="s">
        <v>282</v>
      </c>
      <c r="H104" s="25"/>
      <c r="I104" s="23" t="s">
        <v>567</v>
      </c>
      <c r="K104" s="49">
        <v>0.99</v>
      </c>
      <c r="L104" s="21">
        <v>30</v>
      </c>
      <c r="M104" s="23" t="s">
        <v>284</v>
      </c>
      <c r="N104" s="21" t="s">
        <v>184</v>
      </c>
      <c r="O104" s="23" t="s">
        <v>1</v>
      </c>
      <c r="Q104" s="54" t="s">
        <v>618</v>
      </c>
      <c r="R104" s="23" t="s">
        <v>285</v>
      </c>
      <c r="S104" s="22" t="s">
        <v>283</v>
      </c>
    </row>
    <row r="105" spans="1:22" ht="30" x14ac:dyDescent="0.25">
      <c r="A105" s="19">
        <v>51</v>
      </c>
      <c r="B105" s="20" t="s">
        <v>619</v>
      </c>
      <c r="C105" s="20" t="s">
        <v>289</v>
      </c>
      <c r="D105" s="25">
        <v>200</v>
      </c>
      <c r="E105" s="26">
        <f>D105*0.471/24</f>
        <v>3.9249999999999994</v>
      </c>
      <c r="F105" s="21" t="s">
        <v>287</v>
      </c>
      <c r="H105" s="25"/>
      <c r="I105" s="23" t="s">
        <v>288</v>
      </c>
      <c r="K105" s="49">
        <v>0.99</v>
      </c>
      <c r="L105" s="21">
        <v>25</v>
      </c>
      <c r="M105" s="21" t="s">
        <v>663</v>
      </c>
      <c r="N105" s="21" t="s">
        <v>184</v>
      </c>
      <c r="O105" s="23" t="s">
        <v>1</v>
      </c>
      <c r="Q105" s="54" t="s">
        <v>620</v>
      </c>
      <c r="R105" s="23" t="s">
        <v>286</v>
      </c>
      <c r="S105" s="22" t="s">
        <v>290</v>
      </c>
    </row>
    <row r="106" spans="1:22" ht="30" x14ac:dyDescent="0.25">
      <c r="A106" s="19">
        <v>52</v>
      </c>
      <c r="B106" s="20" t="s">
        <v>619</v>
      </c>
      <c r="C106" s="20" t="s">
        <v>291</v>
      </c>
      <c r="D106" s="25">
        <v>200</v>
      </c>
      <c r="E106" s="26">
        <f>D106*0.223/24</f>
        <v>1.8583333333333334</v>
      </c>
      <c r="F106" s="21" t="s">
        <v>287</v>
      </c>
      <c r="G106" s="24"/>
      <c r="H106" s="25"/>
      <c r="I106" s="21" t="s">
        <v>292</v>
      </c>
      <c r="K106" s="49">
        <v>0.99</v>
      </c>
      <c r="L106" s="21">
        <v>25</v>
      </c>
      <c r="M106" s="21" t="s">
        <v>663</v>
      </c>
      <c r="N106" s="21" t="s">
        <v>184</v>
      </c>
      <c r="O106" s="23" t="s">
        <v>1</v>
      </c>
      <c r="Q106" s="54" t="s">
        <v>620</v>
      </c>
      <c r="R106" s="23" t="s">
        <v>286</v>
      </c>
      <c r="S106" s="22" t="s">
        <v>290</v>
      </c>
    </row>
    <row r="107" spans="1:22" ht="45" x14ac:dyDescent="0.25">
      <c r="A107" s="19">
        <v>53</v>
      </c>
      <c r="B107" s="20" t="s">
        <v>294</v>
      </c>
      <c r="C107" s="20" t="s">
        <v>293</v>
      </c>
      <c r="D107" s="23" t="s">
        <v>298</v>
      </c>
      <c r="E107" s="26"/>
      <c r="F107" s="23" t="s">
        <v>295</v>
      </c>
      <c r="H107" s="25"/>
      <c r="I107" s="21" t="s">
        <v>296</v>
      </c>
      <c r="L107" s="21">
        <v>30</v>
      </c>
      <c r="M107" s="23" t="s">
        <v>299</v>
      </c>
      <c r="N107" s="21" t="s">
        <v>184</v>
      </c>
      <c r="O107" s="23" t="s">
        <v>1</v>
      </c>
      <c r="Q107" s="21" t="s">
        <v>297</v>
      </c>
      <c r="R107" s="21">
        <v>5.6</v>
      </c>
      <c r="S107" s="22" t="s">
        <v>300</v>
      </c>
    </row>
    <row r="108" spans="1:22" ht="45" x14ac:dyDescent="0.25">
      <c r="A108" s="19">
        <v>54</v>
      </c>
      <c r="B108" s="20" t="s">
        <v>305</v>
      </c>
      <c r="C108" s="20" t="s">
        <v>241</v>
      </c>
      <c r="D108" s="24">
        <v>7.7</v>
      </c>
      <c r="E108" s="25"/>
      <c r="F108" s="21">
        <v>2E-3</v>
      </c>
      <c r="H108" s="25">
        <f t="shared" si="8"/>
        <v>0</v>
      </c>
      <c r="I108" s="21" t="s">
        <v>301</v>
      </c>
      <c r="L108" s="21">
        <v>30</v>
      </c>
      <c r="M108" s="23" t="s">
        <v>303</v>
      </c>
      <c r="N108" s="21" t="s">
        <v>184</v>
      </c>
      <c r="O108" s="23" t="s">
        <v>1</v>
      </c>
      <c r="Q108" s="23" t="s">
        <v>334</v>
      </c>
      <c r="R108" s="23" t="s">
        <v>302</v>
      </c>
      <c r="S108" s="22" t="s">
        <v>304</v>
      </c>
    </row>
    <row r="109" spans="1:22" ht="18" x14ac:dyDescent="0.35">
      <c r="A109" s="19">
        <v>55</v>
      </c>
      <c r="B109" s="20" t="s">
        <v>306</v>
      </c>
      <c r="C109" s="20" t="s">
        <v>652</v>
      </c>
      <c r="D109" s="21">
        <v>4</v>
      </c>
      <c r="E109" s="26">
        <f>G109*F109/0.5</f>
        <v>1.4450000000000001</v>
      </c>
      <c r="F109" s="21">
        <f>0.5/1000</f>
        <v>5.0000000000000001E-4</v>
      </c>
      <c r="G109" s="21">
        <v>1445</v>
      </c>
      <c r="H109" s="25">
        <f t="shared" si="8"/>
        <v>2890</v>
      </c>
      <c r="I109" s="21" t="s">
        <v>270</v>
      </c>
      <c r="J109" s="21" t="s">
        <v>199</v>
      </c>
      <c r="L109" s="21">
        <v>25</v>
      </c>
      <c r="M109" s="21" t="s">
        <v>308</v>
      </c>
      <c r="N109" s="21" t="s">
        <v>621</v>
      </c>
      <c r="O109" s="21">
        <v>80</v>
      </c>
      <c r="P109" s="21">
        <f t="shared" si="9"/>
        <v>20</v>
      </c>
      <c r="Q109" s="21" t="s">
        <v>206</v>
      </c>
      <c r="R109" s="21" t="s">
        <v>333</v>
      </c>
      <c r="S109" s="22" t="s">
        <v>309</v>
      </c>
    </row>
    <row r="110" spans="1:22" ht="18" x14ac:dyDescent="0.35">
      <c r="A110" s="19">
        <v>56</v>
      </c>
      <c r="B110" s="20" t="s">
        <v>307</v>
      </c>
      <c r="C110" s="20" t="s">
        <v>651</v>
      </c>
      <c r="D110" s="21">
        <v>4</v>
      </c>
      <c r="E110" s="21">
        <f>G110*F110/0.5</f>
        <v>3.48</v>
      </c>
      <c r="F110" s="21">
        <f>0.5/1000</f>
        <v>5.0000000000000001E-4</v>
      </c>
      <c r="G110" s="21">
        <v>3480</v>
      </c>
      <c r="H110" s="25">
        <f t="shared" si="8"/>
        <v>6960</v>
      </c>
      <c r="I110" s="21" t="s">
        <v>67</v>
      </c>
      <c r="J110" s="21" t="s">
        <v>199</v>
      </c>
      <c r="L110" s="21">
        <v>25</v>
      </c>
      <c r="M110" s="21" t="s">
        <v>308</v>
      </c>
      <c r="N110" s="21" t="s">
        <v>621</v>
      </c>
      <c r="O110" s="21">
        <v>80</v>
      </c>
      <c r="P110" s="21">
        <f t="shared" si="9"/>
        <v>20</v>
      </c>
      <c r="Q110" s="21" t="s">
        <v>332</v>
      </c>
      <c r="R110" s="21" t="s">
        <v>333</v>
      </c>
      <c r="S110" s="22" t="s">
        <v>309</v>
      </c>
    </row>
    <row r="111" spans="1:22" ht="30" x14ac:dyDescent="0.25">
      <c r="A111" s="19">
        <v>57</v>
      </c>
      <c r="B111" s="20" t="s">
        <v>313</v>
      </c>
      <c r="C111" s="20" t="s">
        <v>649</v>
      </c>
      <c r="D111" s="21">
        <v>4</v>
      </c>
      <c r="E111" s="26">
        <f>0.747*D111/(10/60)</f>
        <v>17.928000000000001</v>
      </c>
      <c r="F111" s="21">
        <f>12.5/1000</f>
        <v>1.2500000000000001E-2</v>
      </c>
      <c r="G111" s="21">
        <f>0.747*D111/F111</f>
        <v>239.04</v>
      </c>
      <c r="H111" s="25">
        <f t="shared" si="8"/>
        <v>1434.24</v>
      </c>
      <c r="I111" s="23" t="s">
        <v>310</v>
      </c>
      <c r="K111" s="49">
        <v>0.99</v>
      </c>
      <c r="L111" s="21">
        <v>35</v>
      </c>
      <c r="M111" s="23" t="s">
        <v>662</v>
      </c>
      <c r="N111" s="21" t="s">
        <v>311</v>
      </c>
      <c r="O111" s="21">
        <v>4</v>
      </c>
      <c r="P111" s="21">
        <f t="shared" si="9"/>
        <v>1</v>
      </c>
      <c r="S111" s="22" t="s">
        <v>312</v>
      </c>
    </row>
    <row r="112" spans="1:22" ht="30" x14ac:dyDescent="0.25">
      <c r="A112" s="19">
        <v>58</v>
      </c>
      <c r="B112" s="20" t="s">
        <v>313</v>
      </c>
      <c r="C112" s="27" t="s">
        <v>650</v>
      </c>
      <c r="D112" s="21">
        <v>4</v>
      </c>
      <c r="E112" s="26">
        <f>0.673*D112/(10/60)</f>
        <v>16.152000000000001</v>
      </c>
      <c r="F112" s="21">
        <f>12.5/1000</f>
        <v>1.2500000000000001E-2</v>
      </c>
      <c r="G112" s="21">
        <f>0.673*D112/F112</f>
        <v>215.36</v>
      </c>
      <c r="H112" s="25">
        <f t="shared" si="8"/>
        <v>1292.1600000000001</v>
      </c>
      <c r="I112" s="23" t="s">
        <v>314</v>
      </c>
      <c r="K112" s="49">
        <v>0.99</v>
      </c>
      <c r="L112" s="21">
        <v>35</v>
      </c>
      <c r="M112" s="23" t="s">
        <v>662</v>
      </c>
      <c r="N112" s="21" t="s">
        <v>311</v>
      </c>
      <c r="O112" s="21">
        <v>4</v>
      </c>
      <c r="P112" s="21">
        <f t="shared" si="9"/>
        <v>1</v>
      </c>
      <c r="S112" s="22" t="s">
        <v>312</v>
      </c>
    </row>
    <row r="113" spans="1:19" ht="45" x14ac:dyDescent="0.25">
      <c r="A113" s="19">
        <v>59</v>
      </c>
      <c r="B113" s="20" t="s">
        <v>319</v>
      </c>
      <c r="C113" s="20" t="s">
        <v>96</v>
      </c>
      <c r="D113" s="21">
        <v>10</v>
      </c>
      <c r="E113" s="21">
        <f>F113*G113/(10/60)</f>
        <v>3.3000000000000004E-3</v>
      </c>
      <c r="F113" s="21">
        <f>0.5/1000</f>
        <v>5.0000000000000001E-4</v>
      </c>
      <c r="G113" s="21">
        <f>220*F113*10</f>
        <v>1.1000000000000001</v>
      </c>
      <c r="H113" s="25">
        <f t="shared" si="8"/>
        <v>6.6000000000000005</v>
      </c>
      <c r="K113" s="21" t="s">
        <v>315</v>
      </c>
      <c r="L113" s="21">
        <v>25</v>
      </c>
      <c r="M113" s="23" t="s">
        <v>316</v>
      </c>
      <c r="P113" s="21">
        <f t="shared" si="9"/>
        <v>0</v>
      </c>
      <c r="Q113" s="23" t="s">
        <v>318</v>
      </c>
      <c r="R113" s="21" t="s">
        <v>317</v>
      </c>
      <c r="S113" s="22" t="s">
        <v>322</v>
      </c>
    </row>
    <row r="114" spans="1:19" ht="45" x14ac:dyDescent="0.25">
      <c r="A114" s="19">
        <v>60</v>
      </c>
      <c r="B114" s="20" t="s">
        <v>319</v>
      </c>
      <c r="C114" s="55" t="s">
        <v>321</v>
      </c>
      <c r="D114" s="21">
        <v>10</v>
      </c>
      <c r="E114" s="21">
        <f>F114*G114/(10/60)</f>
        <v>3.9000000000000007E-3</v>
      </c>
      <c r="F114" s="21">
        <f>0.5/1000</f>
        <v>5.0000000000000001E-4</v>
      </c>
      <c r="G114" s="21">
        <f>260*F114*10</f>
        <v>1.3</v>
      </c>
      <c r="H114" s="25">
        <f t="shared" si="8"/>
        <v>7.8000000000000016</v>
      </c>
      <c r="K114" s="21" t="s">
        <v>320</v>
      </c>
      <c r="L114" s="21">
        <v>25</v>
      </c>
      <c r="M114" s="23" t="s">
        <v>316</v>
      </c>
      <c r="P114" s="21">
        <f t="shared" si="9"/>
        <v>0</v>
      </c>
      <c r="Q114" s="23" t="s">
        <v>318</v>
      </c>
      <c r="R114" s="21" t="s">
        <v>317</v>
      </c>
      <c r="S114" s="22" t="s">
        <v>322</v>
      </c>
    </row>
    <row r="115" spans="1:19" x14ac:dyDescent="0.25">
      <c r="A115" s="19">
        <v>61</v>
      </c>
      <c r="B115" s="20" t="s">
        <v>323</v>
      </c>
      <c r="C115" s="20" t="s">
        <v>241</v>
      </c>
      <c r="D115" s="21">
        <v>40</v>
      </c>
      <c r="E115" s="21">
        <f>D115/20</f>
        <v>2</v>
      </c>
      <c r="F115" s="21">
        <f>0.1/1000</f>
        <v>1E-4</v>
      </c>
      <c r="G115" s="21">
        <f>D115*1/F115</f>
        <v>400000</v>
      </c>
      <c r="H115" s="25">
        <f t="shared" si="8"/>
        <v>20000</v>
      </c>
      <c r="K115" s="48">
        <v>0.57299999999999995</v>
      </c>
      <c r="L115" s="21">
        <v>25</v>
      </c>
      <c r="M115" s="21" t="s">
        <v>4</v>
      </c>
      <c r="N115" s="21" t="s">
        <v>0</v>
      </c>
      <c r="O115" s="21">
        <v>170</v>
      </c>
      <c r="P115" s="21">
        <f t="shared" si="9"/>
        <v>4.25</v>
      </c>
      <c r="Q115" s="21" t="s">
        <v>324</v>
      </c>
      <c r="R115" s="21" t="s">
        <v>325</v>
      </c>
      <c r="S115" s="22" t="s">
        <v>326</v>
      </c>
    </row>
    <row r="116" spans="1:19" ht="30" x14ac:dyDescent="0.25">
      <c r="A116" s="19">
        <v>62</v>
      </c>
      <c r="B116" s="20" t="s">
        <v>331</v>
      </c>
      <c r="C116" s="20" t="s">
        <v>327</v>
      </c>
      <c r="D116" s="21">
        <v>100</v>
      </c>
      <c r="E116" s="21">
        <f>D116*0.88/1</f>
        <v>88</v>
      </c>
      <c r="F116" s="21">
        <v>1.2999999999999999E-2</v>
      </c>
      <c r="G116" s="25">
        <f>D116*0.888/F116</f>
        <v>6830.7692307692305</v>
      </c>
      <c r="H116" s="25">
        <f t="shared" si="8"/>
        <v>6769.2307692307695</v>
      </c>
      <c r="I116" s="21" t="s">
        <v>329</v>
      </c>
      <c r="L116" s="21" t="s">
        <v>37</v>
      </c>
      <c r="M116" s="23" t="s">
        <v>328</v>
      </c>
      <c r="N116" s="21" t="s">
        <v>311</v>
      </c>
      <c r="O116" s="21">
        <v>200</v>
      </c>
      <c r="P116" s="21">
        <f t="shared" si="9"/>
        <v>2</v>
      </c>
      <c r="S116" s="22" t="s">
        <v>330</v>
      </c>
    </row>
    <row r="117" spans="1:19" ht="31.5" x14ac:dyDescent="0.35">
      <c r="A117" s="19">
        <v>63</v>
      </c>
      <c r="B117" s="20" t="s">
        <v>622</v>
      </c>
      <c r="C117" s="27" t="s">
        <v>339</v>
      </c>
      <c r="D117" s="21">
        <v>0.1</v>
      </c>
      <c r="E117" s="21">
        <f>D117*0.99/0.5</f>
        <v>0.19800000000000001</v>
      </c>
      <c r="F117" s="21">
        <v>5.0000000000000002E-5</v>
      </c>
      <c r="G117" s="21">
        <f>D117*0.99/F117</f>
        <v>1980</v>
      </c>
      <c r="H117" s="25">
        <f t="shared" si="8"/>
        <v>3960</v>
      </c>
      <c r="K117" s="21" t="s">
        <v>199</v>
      </c>
      <c r="L117" s="21">
        <v>30</v>
      </c>
      <c r="M117" s="21" t="s">
        <v>337</v>
      </c>
      <c r="N117" s="21" t="s">
        <v>621</v>
      </c>
      <c r="O117" s="21">
        <v>1</v>
      </c>
      <c r="P117" s="21">
        <f t="shared" si="9"/>
        <v>10</v>
      </c>
      <c r="Q117" s="21" t="s">
        <v>343</v>
      </c>
      <c r="R117" s="49">
        <v>0.2</v>
      </c>
      <c r="S117" s="40" t="s">
        <v>338</v>
      </c>
    </row>
    <row r="118" spans="1:19" ht="31.5" x14ac:dyDescent="0.35">
      <c r="A118" s="19">
        <v>64</v>
      </c>
      <c r="B118" s="20" t="s">
        <v>623</v>
      </c>
      <c r="C118" s="27" t="s">
        <v>340</v>
      </c>
      <c r="D118" s="21">
        <v>0.1</v>
      </c>
      <c r="E118" s="21">
        <f>D118*0.94/0.5</f>
        <v>0.188</v>
      </c>
      <c r="F118" s="21">
        <v>5.0000000000000002E-5</v>
      </c>
      <c r="G118" s="21">
        <f>D118*0.94/F118</f>
        <v>1880</v>
      </c>
      <c r="H118" s="25">
        <f t="shared" si="8"/>
        <v>3760</v>
      </c>
      <c r="K118" s="23" t="s">
        <v>341</v>
      </c>
      <c r="L118" s="21">
        <v>30</v>
      </c>
      <c r="M118" s="21" t="s">
        <v>337</v>
      </c>
      <c r="N118" s="21" t="s">
        <v>621</v>
      </c>
      <c r="O118" s="21">
        <v>1</v>
      </c>
      <c r="P118" s="21">
        <f t="shared" si="9"/>
        <v>10</v>
      </c>
      <c r="Q118" s="21" t="s">
        <v>343</v>
      </c>
      <c r="R118" s="49">
        <v>0.2</v>
      </c>
      <c r="S118" s="40" t="s">
        <v>338</v>
      </c>
    </row>
    <row r="119" spans="1:19" ht="46.5" x14ac:dyDescent="0.35">
      <c r="A119" s="19">
        <v>65</v>
      </c>
      <c r="B119" s="20" t="s">
        <v>342</v>
      </c>
      <c r="C119" s="20" t="s">
        <v>344</v>
      </c>
      <c r="D119" s="21">
        <v>1</v>
      </c>
      <c r="E119" s="21">
        <f>195/1000/24</f>
        <v>8.1250000000000003E-3</v>
      </c>
      <c r="F119" s="21">
        <f>2/1000</f>
        <v>2E-3</v>
      </c>
      <c r="G119" s="21">
        <f>195/2</f>
        <v>97.5</v>
      </c>
      <c r="H119" s="25">
        <f t="shared" si="8"/>
        <v>4.0625</v>
      </c>
      <c r="K119" s="23" t="s">
        <v>345</v>
      </c>
      <c r="L119" s="21">
        <v>30</v>
      </c>
      <c r="M119" s="21" t="s">
        <v>350</v>
      </c>
      <c r="N119" s="21" t="s">
        <v>621</v>
      </c>
      <c r="O119" s="21">
        <v>1</v>
      </c>
      <c r="P119" s="21">
        <f>O119/D119</f>
        <v>1</v>
      </c>
      <c r="Q119" s="21" t="s">
        <v>343</v>
      </c>
      <c r="R119" s="49">
        <v>0.6</v>
      </c>
      <c r="S119" s="22" t="s">
        <v>346</v>
      </c>
    </row>
    <row r="120" spans="1:19" ht="30" x14ac:dyDescent="0.25">
      <c r="A120" s="30">
        <v>66</v>
      </c>
      <c r="B120" s="32" t="s">
        <v>624</v>
      </c>
      <c r="C120" s="56" t="s">
        <v>625</v>
      </c>
      <c r="D120" s="33" t="s">
        <v>349</v>
      </c>
      <c r="E120" s="57">
        <f>48/72</f>
        <v>0.66666666666666663</v>
      </c>
      <c r="F120" s="33">
        <f>0.5/1000</f>
        <v>5.0000000000000001E-4</v>
      </c>
      <c r="G120" s="33">
        <f>48/F120</f>
        <v>96000</v>
      </c>
      <c r="H120" s="52">
        <f t="shared" ref="H120" si="10">E120/F120</f>
        <v>1333.3333333333333</v>
      </c>
      <c r="I120" s="34" t="s">
        <v>347</v>
      </c>
      <c r="J120" s="33"/>
      <c r="K120" s="58">
        <v>0.84</v>
      </c>
      <c r="L120" s="33" t="s">
        <v>37</v>
      </c>
      <c r="M120" s="33"/>
      <c r="N120" s="33" t="s">
        <v>311</v>
      </c>
      <c r="O120" s="33">
        <v>72</v>
      </c>
      <c r="P120" s="35">
        <f>O120/7745</f>
        <v>9.2963202065848936E-3</v>
      </c>
      <c r="Q120" s="33"/>
      <c r="R120" s="33"/>
      <c r="S120" s="36" t="s">
        <v>348</v>
      </c>
    </row>
    <row r="121" spans="1:19" ht="15.75" x14ac:dyDescent="0.25">
      <c r="C121" s="59"/>
      <c r="E121" s="42"/>
      <c r="H121" s="25"/>
      <c r="I121" s="23"/>
      <c r="K121" s="49"/>
      <c r="S121" s="22"/>
    </row>
    <row r="122" spans="1:19" x14ac:dyDescent="0.25">
      <c r="S122" s="22"/>
    </row>
    <row r="123" spans="1:19" ht="15.75" thickBot="1" x14ac:dyDescent="0.3">
      <c r="J123" s="21" t="s">
        <v>365</v>
      </c>
      <c r="S123" s="22"/>
    </row>
    <row r="124" spans="1:19" ht="28.5" customHeight="1" x14ac:dyDescent="0.25">
      <c r="A124" s="16" t="s">
        <v>528</v>
      </c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7"/>
    </row>
    <row r="125" spans="1:19" ht="18" x14ac:dyDescent="0.35">
      <c r="A125" s="19">
        <v>1</v>
      </c>
      <c r="B125" s="20" t="s">
        <v>354</v>
      </c>
      <c r="C125" s="18" t="s">
        <v>351</v>
      </c>
      <c r="D125" s="25">
        <v>4697.2414382099232</v>
      </c>
      <c r="E125" s="26">
        <v>2.6186711850647657</v>
      </c>
      <c r="F125" s="24">
        <v>4.6972414382099235</v>
      </c>
      <c r="G125" s="21">
        <v>40</v>
      </c>
      <c r="I125" s="21">
        <v>58</v>
      </c>
      <c r="L125" s="21">
        <v>0</v>
      </c>
      <c r="N125" s="21" t="s">
        <v>621</v>
      </c>
      <c r="O125" s="26">
        <v>2013.1034735185387</v>
      </c>
      <c r="P125" s="26">
        <f>O125/D125</f>
        <v>0.4285714285714286</v>
      </c>
      <c r="Q125" s="21" t="s">
        <v>626</v>
      </c>
      <c r="R125" s="21" t="s">
        <v>353</v>
      </c>
      <c r="S125" s="22" t="s">
        <v>356</v>
      </c>
    </row>
    <row r="126" spans="1:19" ht="18" x14ac:dyDescent="0.35">
      <c r="A126" s="19">
        <v>2</v>
      </c>
      <c r="B126" s="20" t="s">
        <v>655</v>
      </c>
      <c r="C126" s="18" t="s">
        <v>352</v>
      </c>
      <c r="D126" s="21">
        <v>4744</v>
      </c>
      <c r="E126" s="26">
        <v>39.169263443761643</v>
      </c>
      <c r="F126" s="24">
        <v>4.7438330170777991</v>
      </c>
      <c r="G126" s="21">
        <v>29.999999999999996</v>
      </c>
      <c r="I126" s="21">
        <v>16</v>
      </c>
      <c r="L126" s="21">
        <v>0</v>
      </c>
      <c r="N126" s="21" t="s">
        <v>621</v>
      </c>
      <c r="O126" s="26">
        <v>1951.7484413120085</v>
      </c>
      <c r="P126" s="26">
        <f t="shared" ref="P126:P175" si="11">O126/D126</f>
        <v>0.41141408965261561</v>
      </c>
      <c r="Q126" s="21" t="s">
        <v>626</v>
      </c>
      <c r="R126" s="21" t="s">
        <v>355</v>
      </c>
      <c r="S126" s="22" t="s">
        <v>356</v>
      </c>
    </row>
    <row r="127" spans="1:19" ht="31.5" x14ac:dyDescent="0.35">
      <c r="A127" s="19">
        <v>3</v>
      </c>
      <c r="B127" s="20" t="s">
        <v>358</v>
      </c>
      <c r="C127" s="60" t="s">
        <v>357</v>
      </c>
      <c r="D127" s="21">
        <v>400</v>
      </c>
      <c r="E127" s="26">
        <v>10.25</v>
      </c>
      <c r="F127" s="21">
        <v>4</v>
      </c>
      <c r="G127" s="21">
        <v>41</v>
      </c>
      <c r="I127" s="21">
        <v>44</v>
      </c>
      <c r="L127" s="21" t="s">
        <v>37</v>
      </c>
      <c r="M127" s="21" t="s">
        <v>359</v>
      </c>
      <c r="N127" s="21" t="s">
        <v>564</v>
      </c>
      <c r="P127" s="21">
        <f t="shared" si="11"/>
        <v>0</v>
      </c>
      <c r="Q127" s="21" t="s">
        <v>627</v>
      </c>
      <c r="R127" s="21" t="s">
        <v>628</v>
      </c>
      <c r="S127" s="22" t="s">
        <v>360</v>
      </c>
    </row>
    <row r="128" spans="1:19" ht="31.5" x14ac:dyDescent="0.35">
      <c r="A128" s="19">
        <v>4</v>
      </c>
      <c r="B128" s="20" t="s">
        <v>654</v>
      </c>
      <c r="C128" s="18" t="s">
        <v>394</v>
      </c>
      <c r="D128" s="21">
        <v>200</v>
      </c>
      <c r="F128" s="21">
        <v>50</v>
      </c>
      <c r="G128" s="21">
        <v>1.76</v>
      </c>
      <c r="I128" s="23" t="s">
        <v>390</v>
      </c>
      <c r="J128" s="26">
        <f>26/74</f>
        <v>0.35135135135135137</v>
      </c>
      <c r="L128" s="21">
        <v>-20</v>
      </c>
      <c r="M128" s="21" t="s">
        <v>382</v>
      </c>
      <c r="N128" s="21" t="s">
        <v>173</v>
      </c>
      <c r="O128" s="21">
        <v>100</v>
      </c>
      <c r="P128" s="21">
        <f t="shared" si="11"/>
        <v>0.5</v>
      </c>
      <c r="Q128" s="21" t="s">
        <v>391</v>
      </c>
      <c r="R128" s="21" t="s">
        <v>392</v>
      </c>
      <c r="S128" s="22" t="s">
        <v>393</v>
      </c>
    </row>
    <row r="129" spans="1:19" ht="31.5" x14ac:dyDescent="0.35">
      <c r="A129" s="19">
        <v>5</v>
      </c>
      <c r="B129" s="20" t="s">
        <v>398</v>
      </c>
      <c r="C129" s="60" t="s">
        <v>397</v>
      </c>
      <c r="D129" s="21">
        <v>600</v>
      </c>
      <c r="E129" s="26">
        <v>3.9428571428571431</v>
      </c>
      <c r="F129" s="21">
        <v>60</v>
      </c>
      <c r="G129" s="21">
        <v>4.5999999999999996</v>
      </c>
      <c r="I129" s="21">
        <v>99</v>
      </c>
      <c r="J129" s="21" t="s">
        <v>395</v>
      </c>
      <c r="L129" s="21">
        <v>-15</v>
      </c>
      <c r="M129" s="21" t="s">
        <v>563</v>
      </c>
      <c r="N129" s="21" t="s">
        <v>621</v>
      </c>
      <c r="O129" s="21">
        <v>1800</v>
      </c>
      <c r="P129" s="21">
        <f t="shared" si="11"/>
        <v>3</v>
      </c>
      <c r="S129" s="22" t="s">
        <v>396</v>
      </c>
    </row>
    <row r="130" spans="1:19" ht="18" x14ac:dyDescent="0.35">
      <c r="A130" s="19">
        <v>6</v>
      </c>
      <c r="B130" s="20" t="s">
        <v>629</v>
      </c>
      <c r="C130" s="20" t="s">
        <v>405</v>
      </c>
      <c r="S130" s="22" t="s">
        <v>406</v>
      </c>
    </row>
    <row r="131" spans="1:19" ht="18" x14ac:dyDescent="0.35">
      <c r="A131" s="19">
        <v>7</v>
      </c>
      <c r="B131" s="20" t="s">
        <v>427</v>
      </c>
      <c r="C131" s="20" t="s">
        <v>426</v>
      </c>
      <c r="D131" s="25">
        <v>333.33333333333331</v>
      </c>
      <c r="E131" s="25">
        <v>29.166666666666664</v>
      </c>
      <c r="F131" s="21" t="s">
        <v>428</v>
      </c>
      <c r="K131" s="21" t="s">
        <v>63</v>
      </c>
      <c r="L131" s="21">
        <v>80</v>
      </c>
      <c r="M131" s="21" t="s">
        <v>436</v>
      </c>
      <c r="N131" s="21" t="s">
        <v>621</v>
      </c>
      <c r="O131" s="24">
        <v>333.33333333333331</v>
      </c>
      <c r="P131" s="21">
        <f t="shared" si="11"/>
        <v>1</v>
      </c>
      <c r="S131" s="22" t="s">
        <v>429</v>
      </c>
    </row>
    <row r="132" spans="1:19" ht="31.5" x14ac:dyDescent="0.35">
      <c r="A132" s="19">
        <v>8</v>
      </c>
      <c r="B132" s="20" t="s">
        <v>630</v>
      </c>
      <c r="C132" s="20" t="s">
        <v>407</v>
      </c>
      <c r="D132" s="25">
        <v>400</v>
      </c>
      <c r="E132" s="25">
        <v>79.2</v>
      </c>
      <c r="F132" s="21" t="s">
        <v>434</v>
      </c>
      <c r="L132" s="21">
        <v>50</v>
      </c>
      <c r="M132" s="21" t="s">
        <v>430</v>
      </c>
      <c r="N132" s="23" t="s">
        <v>431</v>
      </c>
      <c r="O132" s="61" t="s">
        <v>432</v>
      </c>
      <c r="Q132" s="21" t="s">
        <v>433</v>
      </c>
      <c r="R132" s="21">
        <v>200</v>
      </c>
      <c r="S132" s="22" t="s">
        <v>435</v>
      </c>
    </row>
    <row r="133" spans="1:19" ht="18" x14ac:dyDescent="0.35">
      <c r="A133" s="19">
        <v>9</v>
      </c>
      <c r="B133" s="20" t="s">
        <v>437</v>
      </c>
      <c r="C133" s="20" t="s">
        <v>407</v>
      </c>
      <c r="D133" s="25">
        <v>250</v>
      </c>
      <c r="E133" s="25">
        <v>32.5</v>
      </c>
      <c r="F133" s="21" t="s">
        <v>438</v>
      </c>
      <c r="K133" s="21">
        <v>62</v>
      </c>
      <c r="L133" s="21">
        <v>80</v>
      </c>
      <c r="M133" s="23" t="s">
        <v>436</v>
      </c>
      <c r="N133" s="21" t="s">
        <v>621</v>
      </c>
      <c r="O133" s="61">
        <v>375</v>
      </c>
      <c r="P133" s="21">
        <f t="shared" si="11"/>
        <v>1.5</v>
      </c>
      <c r="S133" s="22" t="s">
        <v>439</v>
      </c>
    </row>
    <row r="134" spans="1:19" ht="17.25" x14ac:dyDescent="0.25">
      <c r="A134" s="19">
        <v>10</v>
      </c>
      <c r="B134" s="27" t="s">
        <v>631</v>
      </c>
      <c r="C134" s="20" t="s">
        <v>440</v>
      </c>
      <c r="D134" s="25"/>
      <c r="E134" s="25"/>
      <c r="L134" s="62" t="s">
        <v>547</v>
      </c>
      <c r="M134" s="23"/>
      <c r="N134" s="21" t="s">
        <v>8</v>
      </c>
      <c r="O134" s="61"/>
      <c r="S134" s="22" t="s">
        <v>441</v>
      </c>
    </row>
    <row r="135" spans="1:19" ht="18.75" x14ac:dyDescent="0.35">
      <c r="A135" s="19">
        <v>11</v>
      </c>
      <c r="B135" s="20" t="s">
        <v>632</v>
      </c>
      <c r="C135" s="18" t="s">
        <v>633</v>
      </c>
      <c r="D135" s="25">
        <v>50</v>
      </c>
      <c r="E135" s="26">
        <v>0.17</v>
      </c>
      <c r="F135" s="26">
        <v>2.5</v>
      </c>
      <c r="G135" s="21">
        <v>1.6</v>
      </c>
      <c r="H135" s="26">
        <f t="shared" ref="H135:H173" si="12">E135/F135</f>
        <v>6.8000000000000005E-2</v>
      </c>
      <c r="I135" s="21">
        <v>92</v>
      </c>
      <c r="L135" s="21">
        <v>25</v>
      </c>
      <c r="M135" s="21" t="s">
        <v>634</v>
      </c>
      <c r="N135" s="21" t="s">
        <v>621</v>
      </c>
      <c r="O135" s="26">
        <v>65</v>
      </c>
      <c r="P135" s="21">
        <f t="shared" si="11"/>
        <v>1.3</v>
      </c>
      <c r="Q135" s="21" t="s">
        <v>361</v>
      </c>
      <c r="R135" s="21">
        <v>300</v>
      </c>
      <c r="S135" s="22" t="s">
        <v>362</v>
      </c>
    </row>
    <row r="136" spans="1:19" ht="18.75" x14ac:dyDescent="0.35">
      <c r="A136" s="19">
        <v>12</v>
      </c>
      <c r="B136" s="20" t="s">
        <v>632</v>
      </c>
      <c r="C136" s="18" t="s">
        <v>368</v>
      </c>
      <c r="D136" s="25">
        <v>50</v>
      </c>
      <c r="E136" s="26">
        <v>0.14583333333333334</v>
      </c>
      <c r="F136" s="26">
        <v>2.5</v>
      </c>
      <c r="G136" s="21">
        <v>1.4</v>
      </c>
      <c r="H136" s="26">
        <f t="shared" si="12"/>
        <v>5.8333333333333334E-2</v>
      </c>
      <c r="I136" s="21">
        <v>66</v>
      </c>
      <c r="L136" s="21" t="s">
        <v>37</v>
      </c>
      <c r="M136" s="21" t="s">
        <v>634</v>
      </c>
      <c r="N136" s="21" t="s">
        <v>621</v>
      </c>
      <c r="O136" s="21">
        <v>75</v>
      </c>
      <c r="P136" s="21">
        <f t="shared" si="11"/>
        <v>1.5</v>
      </c>
      <c r="Q136" s="21" t="s">
        <v>361</v>
      </c>
      <c r="R136" s="21">
        <v>75</v>
      </c>
      <c r="S136" s="22" t="s">
        <v>362</v>
      </c>
    </row>
    <row r="137" spans="1:19" ht="18" x14ac:dyDescent="0.35">
      <c r="A137" s="19">
        <v>13</v>
      </c>
      <c r="B137" s="20" t="s">
        <v>367</v>
      </c>
      <c r="C137" s="18" t="s">
        <v>363</v>
      </c>
      <c r="D137" s="21">
        <v>100</v>
      </c>
      <c r="E137" s="26">
        <v>7.083333333333333</v>
      </c>
      <c r="F137" s="21">
        <v>10</v>
      </c>
      <c r="G137" s="21">
        <v>8.5</v>
      </c>
      <c r="H137" s="26">
        <f t="shared" si="12"/>
        <v>0.70833333333333326</v>
      </c>
      <c r="I137" s="21" t="s">
        <v>364</v>
      </c>
      <c r="J137" s="21">
        <v>11.5</v>
      </c>
      <c r="L137" s="21">
        <v>-40</v>
      </c>
      <c r="M137" s="21" t="s">
        <v>570</v>
      </c>
      <c r="N137" s="21" t="s">
        <v>621</v>
      </c>
      <c r="O137" s="21">
        <v>150.00000000000003</v>
      </c>
      <c r="P137" s="21">
        <f t="shared" si="11"/>
        <v>1.5000000000000002</v>
      </c>
      <c r="S137" s="22" t="s">
        <v>366</v>
      </c>
    </row>
    <row r="138" spans="1:19" ht="48" x14ac:dyDescent="0.25">
      <c r="A138" s="19">
        <v>14</v>
      </c>
      <c r="B138" s="20" t="s">
        <v>371</v>
      </c>
      <c r="C138" s="18" t="s">
        <v>369</v>
      </c>
      <c r="D138" s="21">
        <v>250</v>
      </c>
      <c r="E138" s="21">
        <v>12.125</v>
      </c>
      <c r="F138" s="21">
        <v>12.5</v>
      </c>
      <c r="G138" s="21">
        <v>19.399999999999999</v>
      </c>
      <c r="H138" s="26">
        <f t="shared" si="12"/>
        <v>0.97</v>
      </c>
      <c r="I138" s="21">
        <v>81</v>
      </c>
      <c r="L138" s="21">
        <v>-40</v>
      </c>
      <c r="M138" s="21" t="s">
        <v>370</v>
      </c>
      <c r="N138" s="23" t="s">
        <v>635</v>
      </c>
      <c r="O138" s="21">
        <v>325</v>
      </c>
      <c r="P138" s="21">
        <f t="shared" si="11"/>
        <v>1.3</v>
      </c>
      <c r="Q138" s="23" t="s">
        <v>372</v>
      </c>
      <c r="R138" s="21" t="s">
        <v>373</v>
      </c>
      <c r="S138" s="22" t="s">
        <v>374</v>
      </c>
    </row>
    <row r="139" spans="1:19" ht="49.5" x14ac:dyDescent="0.35">
      <c r="A139" s="19">
        <v>15</v>
      </c>
      <c r="B139" s="20" t="s">
        <v>653</v>
      </c>
      <c r="C139" s="18" t="s">
        <v>369</v>
      </c>
      <c r="D139" s="21">
        <v>100</v>
      </c>
      <c r="E139" s="26">
        <v>22.666666666666668</v>
      </c>
      <c r="F139" s="21">
        <v>5</v>
      </c>
      <c r="G139" s="21">
        <v>13.6</v>
      </c>
      <c r="H139" s="26">
        <f t="shared" si="12"/>
        <v>4.5333333333333332</v>
      </c>
      <c r="I139" s="21">
        <v>94</v>
      </c>
      <c r="J139" s="26">
        <f>16/54</f>
        <v>0.29629629629629628</v>
      </c>
      <c r="L139" s="21" t="s">
        <v>37</v>
      </c>
      <c r="M139" s="21" t="s">
        <v>375</v>
      </c>
      <c r="N139" s="23" t="s">
        <v>635</v>
      </c>
      <c r="O139" s="21">
        <v>120</v>
      </c>
      <c r="P139" s="21">
        <f t="shared" si="11"/>
        <v>1.2</v>
      </c>
      <c r="S139" s="22" t="s">
        <v>376</v>
      </c>
    </row>
    <row r="140" spans="1:19" ht="31.5" x14ac:dyDescent="0.35">
      <c r="A140" s="19">
        <v>16</v>
      </c>
      <c r="B140" s="27" t="s">
        <v>379</v>
      </c>
      <c r="C140" s="60" t="s">
        <v>378</v>
      </c>
      <c r="D140" s="21">
        <v>500</v>
      </c>
      <c r="E140" s="21">
        <v>12.5</v>
      </c>
      <c r="F140" s="21">
        <v>5</v>
      </c>
      <c r="G140" s="21">
        <v>60</v>
      </c>
      <c r="H140" s="26">
        <f t="shared" si="12"/>
        <v>2.5</v>
      </c>
      <c r="I140" s="21">
        <v>90</v>
      </c>
      <c r="J140" s="26">
        <v>70</v>
      </c>
      <c r="M140" s="21" t="s">
        <v>634</v>
      </c>
      <c r="N140" s="21" t="s">
        <v>621</v>
      </c>
      <c r="O140" s="21">
        <v>500</v>
      </c>
      <c r="P140" s="21">
        <f t="shared" si="11"/>
        <v>1</v>
      </c>
      <c r="Q140" s="21" t="s">
        <v>377</v>
      </c>
      <c r="R140" s="21">
        <v>75</v>
      </c>
      <c r="S140" s="22" t="s">
        <v>380</v>
      </c>
    </row>
    <row r="141" spans="1:19" ht="31.5" x14ac:dyDescent="0.35">
      <c r="A141" s="19">
        <v>17</v>
      </c>
      <c r="B141" s="20" t="s">
        <v>386</v>
      </c>
      <c r="C141" s="27" t="s">
        <v>385</v>
      </c>
      <c r="D141" s="21">
        <v>100</v>
      </c>
      <c r="E141" s="26">
        <v>1.2926829268292683</v>
      </c>
      <c r="F141" s="21">
        <v>5.0000000000000009</v>
      </c>
      <c r="G141" s="21">
        <v>10.599999999999998</v>
      </c>
      <c r="H141" s="26">
        <f t="shared" si="12"/>
        <v>0.25853658536585361</v>
      </c>
      <c r="I141" s="21" t="s">
        <v>383</v>
      </c>
      <c r="J141" s="26">
        <f>1/19</f>
        <v>5.2631578947368418E-2</v>
      </c>
      <c r="L141" s="21">
        <v>-40</v>
      </c>
      <c r="M141" s="21" t="s">
        <v>382</v>
      </c>
      <c r="N141" s="21" t="s">
        <v>173</v>
      </c>
      <c r="O141" s="21">
        <v>100</v>
      </c>
      <c r="P141" s="21">
        <f t="shared" si="11"/>
        <v>1</v>
      </c>
      <c r="Q141" s="21" t="s">
        <v>636</v>
      </c>
      <c r="R141" s="21" t="s">
        <v>381</v>
      </c>
      <c r="S141" s="22" t="s">
        <v>384</v>
      </c>
    </row>
    <row r="142" spans="1:19" ht="18" x14ac:dyDescent="0.35">
      <c r="A142" s="19">
        <v>18</v>
      </c>
      <c r="B142" s="20" t="s">
        <v>386</v>
      </c>
      <c r="C142" s="20" t="s">
        <v>388</v>
      </c>
      <c r="D142" s="21">
        <v>100</v>
      </c>
      <c r="E142" s="26">
        <v>3.1111111111111112</v>
      </c>
      <c r="F142" s="21">
        <v>5.0000000000000009</v>
      </c>
      <c r="G142" s="21">
        <v>11.199999999999998</v>
      </c>
      <c r="H142" s="26">
        <f t="shared" si="12"/>
        <v>0.62222222222222212</v>
      </c>
      <c r="I142" s="21">
        <v>98</v>
      </c>
      <c r="J142" s="26">
        <v>9.6</v>
      </c>
      <c r="L142" s="21">
        <v>-20</v>
      </c>
      <c r="M142" s="21" t="s">
        <v>382</v>
      </c>
      <c r="N142" s="21" t="s">
        <v>173</v>
      </c>
      <c r="O142" s="21">
        <v>100</v>
      </c>
      <c r="P142" s="21">
        <f t="shared" si="11"/>
        <v>1</v>
      </c>
      <c r="Q142" s="21" t="s">
        <v>637</v>
      </c>
      <c r="R142" s="21" t="s">
        <v>387</v>
      </c>
      <c r="S142" s="22" t="s">
        <v>389</v>
      </c>
    </row>
    <row r="143" spans="1:19" ht="31.5" x14ac:dyDescent="0.35">
      <c r="A143" s="19">
        <v>19</v>
      </c>
      <c r="B143" s="20" t="s">
        <v>403</v>
      </c>
      <c r="C143" s="63" t="s">
        <v>638</v>
      </c>
      <c r="D143" s="21">
        <v>8.75</v>
      </c>
      <c r="E143" s="42">
        <v>0.29895833333333333</v>
      </c>
      <c r="F143" s="21">
        <v>128.75</v>
      </c>
      <c r="G143" s="42">
        <v>2.7864077669902912E-2</v>
      </c>
      <c r="H143" s="42">
        <f t="shared" si="12"/>
        <v>2.3220064724919095E-3</v>
      </c>
      <c r="I143" s="23" t="s">
        <v>399</v>
      </c>
      <c r="J143" s="26">
        <f>1/7.9</f>
        <v>0.12658227848101264</v>
      </c>
      <c r="L143" s="21">
        <v>21</v>
      </c>
      <c r="M143" s="21" t="s">
        <v>565</v>
      </c>
      <c r="N143" s="21" t="s">
        <v>173</v>
      </c>
      <c r="O143" s="21">
        <v>9.6250000000000018</v>
      </c>
      <c r="P143" s="21">
        <f t="shared" si="11"/>
        <v>1.1000000000000003</v>
      </c>
      <c r="Q143" s="23"/>
      <c r="S143" s="22" t="s">
        <v>404</v>
      </c>
    </row>
    <row r="144" spans="1:19" ht="66.75" customHeight="1" x14ac:dyDescent="0.35">
      <c r="A144" s="19">
        <v>20</v>
      </c>
      <c r="B144" s="20" t="s">
        <v>403</v>
      </c>
      <c r="C144" s="63" t="s">
        <v>638</v>
      </c>
      <c r="D144" s="21">
        <v>8.75</v>
      </c>
      <c r="E144" s="42">
        <v>0.14947916666666666</v>
      </c>
      <c r="F144" s="21">
        <v>253.74999999999997</v>
      </c>
      <c r="G144" s="42">
        <v>1.413793103448276E-2</v>
      </c>
      <c r="H144" s="42">
        <f t="shared" si="12"/>
        <v>5.8908045977011496E-4</v>
      </c>
      <c r="I144" s="23" t="s">
        <v>399</v>
      </c>
      <c r="J144" s="21">
        <v>12</v>
      </c>
      <c r="L144" s="21">
        <v>21</v>
      </c>
      <c r="M144" s="21" t="s">
        <v>565</v>
      </c>
      <c r="N144" s="21" t="s">
        <v>621</v>
      </c>
      <c r="O144" s="21">
        <v>33.25</v>
      </c>
      <c r="P144" s="21">
        <f t="shared" si="11"/>
        <v>3.8</v>
      </c>
      <c r="Q144" s="23" t="s">
        <v>401</v>
      </c>
      <c r="R144" s="21" t="s">
        <v>402</v>
      </c>
      <c r="S144" s="22" t="s">
        <v>404</v>
      </c>
    </row>
    <row r="145" spans="1:19" ht="49.5" x14ac:dyDescent="0.35">
      <c r="A145" s="19">
        <v>21</v>
      </c>
      <c r="B145" s="20" t="s">
        <v>639</v>
      </c>
      <c r="C145" s="18" t="s">
        <v>369</v>
      </c>
      <c r="D145" s="21">
        <v>200</v>
      </c>
      <c r="E145" s="26">
        <v>7.583333333333333</v>
      </c>
      <c r="F145" s="21">
        <v>10</v>
      </c>
      <c r="G145" s="21">
        <v>18.2</v>
      </c>
      <c r="H145" s="26">
        <f t="shared" si="12"/>
        <v>0.7583333333333333</v>
      </c>
      <c r="I145" s="21">
        <v>80</v>
      </c>
      <c r="L145" s="21">
        <v>-40</v>
      </c>
      <c r="M145" s="21" t="s">
        <v>370</v>
      </c>
      <c r="N145" s="23" t="s">
        <v>635</v>
      </c>
      <c r="O145" s="21">
        <v>260</v>
      </c>
      <c r="P145" s="21">
        <f t="shared" si="11"/>
        <v>1.3</v>
      </c>
      <c r="Q145" s="23" t="s">
        <v>408</v>
      </c>
      <c r="R145" s="21" t="s">
        <v>409</v>
      </c>
      <c r="S145" s="22" t="s">
        <v>410</v>
      </c>
    </row>
    <row r="146" spans="1:19" ht="31.5" x14ac:dyDescent="0.35">
      <c r="A146" s="19">
        <v>22</v>
      </c>
      <c r="B146" s="20" t="s">
        <v>640</v>
      </c>
      <c r="C146" s="18" t="s">
        <v>369</v>
      </c>
      <c r="I146" s="21">
        <v>84</v>
      </c>
      <c r="L146" s="21">
        <v>-30</v>
      </c>
      <c r="M146" s="21" t="s">
        <v>96</v>
      </c>
      <c r="N146" s="23" t="s">
        <v>411</v>
      </c>
      <c r="Q146" s="21" t="s">
        <v>412</v>
      </c>
      <c r="S146" s="22" t="s">
        <v>413</v>
      </c>
    </row>
    <row r="147" spans="1:19" x14ac:dyDescent="0.25">
      <c r="A147" s="19">
        <v>23</v>
      </c>
      <c r="B147" s="20" t="s">
        <v>527</v>
      </c>
      <c r="C147" s="18"/>
      <c r="D147" s="21">
        <f>2/10*1000</f>
        <v>200</v>
      </c>
      <c r="N147" s="23"/>
      <c r="O147" s="21">
        <f>4/10*1000</f>
        <v>400</v>
      </c>
      <c r="P147" s="21">
        <f t="shared" si="11"/>
        <v>2</v>
      </c>
      <c r="S147" s="22"/>
    </row>
    <row r="148" spans="1:19" ht="18" x14ac:dyDescent="0.35">
      <c r="A148" s="19">
        <v>24</v>
      </c>
      <c r="B148" s="20" t="s">
        <v>417</v>
      </c>
      <c r="C148" s="18" t="s">
        <v>369</v>
      </c>
      <c r="D148" s="26">
        <v>5.8139534883720927</v>
      </c>
      <c r="E148" s="26">
        <v>0.1308139534883721</v>
      </c>
      <c r="F148" s="26">
        <v>0.11627906976744187</v>
      </c>
      <c r="G148" s="21">
        <v>27</v>
      </c>
      <c r="H148" s="26">
        <f t="shared" si="12"/>
        <v>1.125</v>
      </c>
      <c r="I148" s="21">
        <v>19</v>
      </c>
      <c r="L148" s="21">
        <v>0</v>
      </c>
      <c r="M148" s="21" t="s">
        <v>415</v>
      </c>
      <c r="N148" s="21" t="s">
        <v>621</v>
      </c>
      <c r="O148" s="26">
        <v>0.11627906976744187</v>
      </c>
      <c r="P148" s="21">
        <f t="shared" si="11"/>
        <v>2.0000000000000004E-2</v>
      </c>
      <c r="Q148" s="21" t="s">
        <v>414</v>
      </c>
      <c r="R148" s="21">
        <v>0.11627906976744187</v>
      </c>
      <c r="S148" s="22" t="s">
        <v>416</v>
      </c>
    </row>
    <row r="149" spans="1:19" ht="18" x14ac:dyDescent="0.35">
      <c r="A149" s="19">
        <v>25</v>
      </c>
      <c r="B149" s="20" t="s">
        <v>421</v>
      </c>
      <c r="C149" s="18" t="s">
        <v>369</v>
      </c>
      <c r="D149" s="21">
        <v>399.99999999999994</v>
      </c>
      <c r="E149" s="26">
        <v>1.8611111111111107</v>
      </c>
      <c r="F149" s="21">
        <v>40</v>
      </c>
      <c r="G149" s="21">
        <v>6.6999999999999984</v>
      </c>
      <c r="H149" s="26">
        <f t="shared" si="12"/>
        <v>4.6527777777777765E-2</v>
      </c>
      <c r="I149" s="21">
        <v>63</v>
      </c>
      <c r="L149" s="21">
        <v>-30</v>
      </c>
      <c r="M149" s="21" t="s">
        <v>418</v>
      </c>
      <c r="N149" s="21" t="s">
        <v>621</v>
      </c>
      <c r="O149" s="21">
        <v>99.999999999999986</v>
      </c>
      <c r="P149" s="21">
        <f t="shared" si="11"/>
        <v>0.25</v>
      </c>
      <c r="Q149" s="21" t="s">
        <v>419</v>
      </c>
      <c r="R149" s="21">
        <v>100</v>
      </c>
      <c r="S149" s="22" t="s">
        <v>420</v>
      </c>
    </row>
    <row r="150" spans="1:19" ht="18" x14ac:dyDescent="0.35">
      <c r="A150" s="19">
        <v>26</v>
      </c>
      <c r="B150" s="20" t="s">
        <v>423</v>
      </c>
      <c r="C150" s="18" t="s">
        <v>369</v>
      </c>
      <c r="D150" s="21">
        <v>100</v>
      </c>
      <c r="E150" s="21">
        <v>5.5</v>
      </c>
      <c r="F150" s="21">
        <v>10</v>
      </c>
      <c r="G150" s="21">
        <v>9.9</v>
      </c>
      <c r="H150" s="21">
        <f t="shared" si="12"/>
        <v>0.55000000000000004</v>
      </c>
      <c r="I150" s="21">
        <v>88</v>
      </c>
      <c r="L150" s="21">
        <v>-40</v>
      </c>
      <c r="M150" s="21" t="s">
        <v>400</v>
      </c>
      <c r="N150" s="21" t="s">
        <v>621</v>
      </c>
      <c r="O150" s="21">
        <v>150</v>
      </c>
      <c r="P150" s="21">
        <f t="shared" si="11"/>
        <v>1.5</v>
      </c>
      <c r="S150" s="22" t="s">
        <v>422</v>
      </c>
    </row>
    <row r="151" spans="1:19" ht="31.5" x14ac:dyDescent="0.35">
      <c r="A151" s="30">
        <v>27</v>
      </c>
      <c r="B151" s="64" t="s">
        <v>424</v>
      </c>
      <c r="C151" s="65" t="s">
        <v>369</v>
      </c>
      <c r="D151" s="33">
        <v>100</v>
      </c>
      <c r="E151" s="33">
        <v>3.625</v>
      </c>
      <c r="F151" s="33">
        <v>20</v>
      </c>
      <c r="G151" s="33">
        <v>4.3499999999999996</v>
      </c>
      <c r="H151" s="57">
        <f t="shared" si="12"/>
        <v>0.18124999999999999</v>
      </c>
      <c r="I151" s="33">
        <v>90</v>
      </c>
      <c r="J151" s="33"/>
      <c r="K151" s="33"/>
      <c r="L151" s="33">
        <v>-15</v>
      </c>
      <c r="M151" s="33" t="s">
        <v>400</v>
      </c>
      <c r="N151" s="33" t="s">
        <v>621</v>
      </c>
      <c r="O151" s="33">
        <v>150</v>
      </c>
      <c r="P151" s="33">
        <f t="shared" si="11"/>
        <v>1.5</v>
      </c>
      <c r="Q151" s="33" t="s">
        <v>641</v>
      </c>
      <c r="R151" s="33">
        <v>20</v>
      </c>
      <c r="S151" s="36" t="s">
        <v>425</v>
      </c>
    </row>
    <row r="152" spans="1:19" ht="30" x14ac:dyDescent="0.25">
      <c r="A152" s="19">
        <v>28</v>
      </c>
      <c r="B152" s="20" t="s">
        <v>452</v>
      </c>
      <c r="C152" s="20" t="s">
        <v>450</v>
      </c>
      <c r="D152" s="21">
        <v>11</v>
      </c>
      <c r="E152" s="21">
        <v>1.8</v>
      </c>
      <c r="F152" s="21">
        <v>2E-3</v>
      </c>
      <c r="G152" s="21">
        <v>4950</v>
      </c>
      <c r="H152" s="21">
        <f t="shared" si="12"/>
        <v>900</v>
      </c>
      <c r="J152" s="21" t="s">
        <v>456</v>
      </c>
      <c r="L152" s="21">
        <v>37</v>
      </c>
      <c r="M152" s="23" t="s">
        <v>455</v>
      </c>
      <c r="N152" s="21" t="s">
        <v>184</v>
      </c>
      <c r="P152" s="21">
        <f t="shared" si="11"/>
        <v>0</v>
      </c>
      <c r="Q152" s="23" t="s">
        <v>453</v>
      </c>
      <c r="R152" s="21" t="s">
        <v>454</v>
      </c>
      <c r="S152" s="22" t="s">
        <v>464</v>
      </c>
    </row>
    <row r="153" spans="1:19" x14ac:dyDescent="0.25">
      <c r="A153" s="19">
        <v>29</v>
      </c>
      <c r="B153" s="20" t="s">
        <v>457</v>
      </c>
      <c r="C153" s="20" t="s">
        <v>407</v>
      </c>
      <c r="D153" s="21">
        <v>5</v>
      </c>
      <c r="E153" s="42">
        <v>3.3333333333333333E-2</v>
      </c>
      <c r="F153" s="21" t="s">
        <v>461</v>
      </c>
      <c r="L153" s="21">
        <v>15</v>
      </c>
      <c r="M153" s="21" t="s">
        <v>446</v>
      </c>
      <c r="N153" s="21" t="s">
        <v>184</v>
      </c>
      <c r="P153" s="21">
        <f t="shared" si="11"/>
        <v>0</v>
      </c>
      <c r="S153" s="22" t="s">
        <v>463</v>
      </c>
    </row>
    <row r="154" spans="1:19" ht="30" x14ac:dyDescent="0.25">
      <c r="A154" s="19">
        <v>30</v>
      </c>
      <c r="B154" s="20" t="s">
        <v>462</v>
      </c>
      <c r="C154" s="20" t="s">
        <v>407</v>
      </c>
      <c r="D154" s="21">
        <v>5</v>
      </c>
      <c r="F154" s="21" t="s">
        <v>460</v>
      </c>
      <c r="I154" s="21">
        <v>99</v>
      </c>
      <c r="L154" s="21">
        <v>25</v>
      </c>
      <c r="M154" s="23" t="s">
        <v>458</v>
      </c>
      <c r="N154" s="21" t="s">
        <v>184</v>
      </c>
      <c r="P154" s="21">
        <f t="shared" si="11"/>
        <v>0</v>
      </c>
      <c r="Q154" s="21" t="s">
        <v>459</v>
      </c>
      <c r="R154" s="21">
        <v>60</v>
      </c>
      <c r="S154" s="22" t="s">
        <v>465</v>
      </c>
    </row>
    <row r="155" spans="1:19" x14ac:dyDescent="0.25">
      <c r="A155" s="19">
        <v>31</v>
      </c>
      <c r="B155" s="20" t="s">
        <v>468</v>
      </c>
      <c r="C155" s="20" t="s">
        <v>407</v>
      </c>
      <c r="D155" s="21">
        <v>2</v>
      </c>
      <c r="E155" s="21">
        <v>0.8</v>
      </c>
      <c r="F155" s="21" t="s">
        <v>469</v>
      </c>
      <c r="L155" s="21">
        <v>25</v>
      </c>
      <c r="M155" s="21" t="s">
        <v>471</v>
      </c>
      <c r="N155" s="21" t="s">
        <v>184</v>
      </c>
      <c r="P155" s="21">
        <f t="shared" si="11"/>
        <v>0</v>
      </c>
      <c r="Q155" s="21" t="s">
        <v>470</v>
      </c>
      <c r="R155" s="21">
        <v>500</v>
      </c>
      <c r="S155" s="22" t="s">
        <v>472</v>
      </c>
    </row>
    <row r="156" spans="1:19" ht="30" x14ac:dyDescent="0.25">
      <c r="A156" s="19">
        <v>32</v>
      </c>
      <c r="B156" s="20" t="s">
        <v>451</v>
      </c>
      <c r="C156" s="20" t="s">
        <v>407</v>
      </c>
      <c r="D156" s="21">
        <v>20</v>
      </c>
      <c r="E156" s="42">
        <v>0.75416666666666676</v>
      </c>
      <c r="F156" s="42">
        <v>7.9861111111111105E-4</v>
      </c>
      <c r="G156" s="21">
        <v>2880</v>
      </c>
      <c r="H156" s="26"/>
      <c r="L156" s="21">
        <v>30</v>
      </c>
      <c r="M156" s="23" t="s">
        <v>495</v>
      </c>
      <c r="N156" s="21" t="s">
        <v>184</v>
      </c>
      <c r="P156" s="21">
        <f t="shared" si="11"/>
        <v>0</v>
      </c>
      <c r="Q156" s="21" t="s">
        <v>496</v>
      </c>
      <c r="R156" s="21" t="s">
        <v>497</v>
      </c>
      <c r="S156" s="22" t="s">
        <v>498</v>
      </c>
    </row>
    <row r="157" spans="1:19" ht="30" x14ac:dyDescent="0.25">
      <c r="A157" s="19">
        <v>33</v>
      </c>
      <c r="B157" s="20" t="s">
        <v>466</v>
      </c>
      <c r="C157" s="20" t="s">
        <v>467</v>
      </c>
      <c r="D157" s="21">
        <v>5</v>
      </c>
      <c r="F157" s="21" t="s">
        <v>460</v>
      </c>
      <c r="I157" s="21">
        <v>99</v>
      </c>
      <c r="L157" s="21">
        <v>25</v>
      </c>
      <c r="M157" s="23" t="s">
        <v>458</v>
      </c>
      <c r="N157" s="21" t="s">
        <v>184</v>
      </c>
      <c r="P157" s="21">
        <f t="shared" si="11"/>
        <v>0</v>
      </c>
      <c r="Q157" s="21" t="s">
        <v>459</v>
      </c>
      <c r="R157" s="21">
        <v>60</v>
      </c>
      <c r="S157" s="22" t="s">
        <v>465</v>
      </c>
    </row>
    <row r="158" spans="1:19" ht="30" x14ac:dyDescent="0.25">
      <c r="A158" s="19">
        <v>34</v>
      </c>
      <c r="B158" s="27" t="s">
        <v>642</v>
      </c>
      <c r="C158" s="18" t="s">
        <v>442</v>
      </c>
      <c r="D158" s="21">
        <v>20</v>
      </c>
      <c r="E158" s="21">
        <v>3.96</v>
      </c>
      <c r="F158" s="21" t="s">
        <v>461</v>
      </c>
      <c r="J158" s="21" t="s">
        <v>443</v>
      </c>
      <c r="K158" s="21">
        <v>99</v>
      </c>
      <c r="L158" s="21">
        <v>30</v>
      </c>
      <c r="M158" s="21" t="s">
        <v>446</v>
      </c>
      <c r="N158" s="21" t="s">
        <v>184</v>
      </c>
      <c r="P158" s="21">
        <f t="shared" si="11"/>
        <v>0</v>
      </c>
      <c r="S158" s="22" t="s">
        <v>449</v>
      </c>
    </row>
    <row r="159" spans="1:19" ht="30" x14ac:dyDescent="0.25">
      <c r="A159" s="19">
        <v>35</v>
      </c>
      <c r="B159" s="27" t="s">
        <v>642</v>
      </c>
      <c r="C159" s="60" t="s">
        <v>445</v>
      </c>
      <c r="D159" s="21">
        <v>20</v>
      </c>
      <c r="E159" s="21">
        <v>0.65</v>
      </c>
      <c r="F159" s="21" t="s">
        <v>461</v>
      </c>
      <c r="J159" s="21" t="s">
        <v>444</v>
      </c>
      <c r="K159" s="21">
        <v>16</v>
      </c>
      <c r="L159" s="21">
        <v>30</v>
      </c>
      <c r="M159" s="21" t="s">
        <v>446</v>
      </c>
      <c r="N159" s="21" t="s">
        <v>184</v>
      </c>
      <c r="P159" s="21">
        <f t="shared" si="11"/>
        <v>0</v>
      </c>
      <c r="S159" s="22" t="s">
        <v>449</v>
      </c>
    </row>
    <row r="160" spans="1:19" ht="30" x14ac:dyDescent="0.25">
      <c r="A160" s="19">
        <v>36</v>
      </c>
      <c r="B160" s="27" t="s">
        <v>642</v>
      </c>
      <c r="C160" s="60" t="s">
        <v>447</v>
      </c>
      <c r="D160" s="21">
        <v>20</v>
      </c>
      <c r="E160" s="26">
        <v>1.6333333333333335</v>
      </c>
      <c r="F160" s="21" t="s">
        <v>461</v>
      </c>
      <c r="J160" s="21" t="s">
        <v>448</v>
      </c>
      <c r="K160" s="21">
        <v>93</v>
      </c>
      <c r="L160" s="21">
        <v>30</v>
      </c>
      <c r="M160" s="21" t="s">
        <v>446</v>
      </c>
      <c r="N160" s="21" t="s">
        <v>184</v>
      </c>
      <c r="P160" s="21">
        <f t="shared" si="11"/>
        <v>0</v>
      </c>
      <c r="S160" s="22" t="s">
        <v>449</v>
      </c>
    </row>
    <row r="161" spans="1:19" ht="30" x14ac:dyDescent="0.25">
      <c r="A161" s="19">
        <v>37</v>
      </c>
      <c r="B161" s="20" t="s">
        <v>473</v>
      </c>
      <c r="C161" s="20" t="s">
        <v>474</v>
      </c>
      <c r="D161" s="21">
        <v>240</v>
      </c>
      <c r="E161" s="26">
        <v>8.4857142857142858</v>
      </c>
      <c r="F161" s="21" t="s">
        <v>477</v>
      </c>
      <c r="J161" s="21" t="s">
        <v>478</v>
      </c>
      <c r="K161" s="21">
        <v>93</v>
      </c>
      <c r="L161" s="21" t="s">
        <v>37</v>
      </c>
      <c r="M161" s="23" t="s">
        <v>479</v>
      </c>
      <c r="N161" s="21" t="s">
        <v>184</v>
      </c>
      <c r="O161" s="21" t="s">
        <v>480</v>
      </c>
      <c r="Q161" s="23" t="s">
        <v>475</v>
      </c>
      <c r="R161" s="23" t="s">
        <v>476</v>
      </c>
      <c r="S161" s="22" t="s">
        <v>481</v>
      </c>
    </row>
    <row r="162" spans="1:19" x14ac:dyDescent="0.25">
      <c r="A162" s="19">
        <v>38</v>
      </c>
      <c r="B162" s="20" t="s">
        <v>482</v>
      </c>
      <c r="C162" s="20" t="s">
        <v>483</v>
      </c>
      <c r="D162" s="21">
        <v>2</v>
      </c>
      <c r="E162" s="21" t="s">
        <v>484</v>
      </c>
      <c r="F162" s="21">
        <v>1E-3</v>
      </c>
      <c r="G162" s="21">
        <v>2000</v>
      </c>
      <c r="J162" s="21" t="s">
        <v>485</v>
      </c>
      <c r="K162" s="49">
        <v>1</v>
      </c>
      <c r="L162" s="21">
        <v>25</v>
      </c>
      <c r="M162" s="23" t="s">
        <v>486</v>
      </c>
      <c r="N162" s="21" t="s">
        <v>184</v>
      </c>
      <c r="P162" s="21">
        <f t="shared" si="11"/>
        <v>0</v>
      </c>
      <c r="Q162" s="23" t="s">
        <v>487</v>
      </c>
      <c r="R162" s="21" t="s">
        <v>488</v>
      </c>
      <c r="S162" s="22" t="s">
        <v>489</v>
      </c>
    </row>
    <row r="163" spans="1:19" ht="30" x14ac:dyDescent="0.25">
      <c r="A163" s="19">
        <v>39</v>
      </c>
      <c r="B163" s="20" t="s">
        <v>491</v>
      </c>
      <c r="C163" s="27" t="s">
        <v>490</v>
      </c>
      <c r="D163" s="21">
        <v>2</v>
      </c>
      <c r="E163" s="21" t="s">
        <v>484</v>
      </c>
      <c r="F163" s="21">
        <v>1E-3</v>
      </c>
      <c r="G163" s="21">
        <v>2000</v>
      </c>
      <c r="I163" s="21">
        <v>68</v>
      </c>
      <c r="J163" s="21" t="s">
        <v>492</v>
      </c>
      <c r="K163" s="49">
        <v>1</v>
      </c>
      <c r="L163" s="21">
        <v>25</v>
      </c>
      <c r="M163" s="23" t="s">
        <v>486</v>
      </c>
      <c r="N163" s="21" t="s">
        <v>184</v>
      </c>
      <c r="P163" s="21">
        <f t="shared" si="11"/>
        <v>0</v>
      </c>
      <c r="Q163" s="23" t="s">
        <v>487</v>
      </c>
      <c r="R163" s="21" t="s">
        <v>488</v>
      </c>
      <c r="S163" s="22" t="s">
        <v>489</v>
      </c>
    </row>
    <row r="164" spans="1:19" ht="30" x14ac:dyDescent="0.25">
      <c r="A164" s="19">
        <v>40</v>
      </c>
      <c r="B164" s="20" t="s">
        <v>493</v>
      </c>
      <c r="C164" s="60" t="s">
        <v>643</v>
      </c>
      <c r="D164" s="21">
        <v>1</v>
      </c>
      <c r="E164" s="21">
        <v>5.0000000000000001E-3</v>
      </c>
      <c r="F164" s="21" t="s">
        <v>461</v>
      </c>
      <c r="L164" s="21">
        <v>24</v>
      </c>
      <c r="M164" s="21" t="s">
        <v>446</v>
      </c>
      <c r="N164" s="21" t="s">
        <v>184</v>
      </c>
      <c r="P164" s="21">
        <f t="shared" si="11"/>
        <v>0</v>
      </c>
      <c r="S164" s="22" t="s">
        <v>494</v>
      </c>
    </row>
    <row r="165" spans="1:19" x14ac:dyDescent="0.25">
      <c r="A165" s="19">
        <v>41</v>
      </c>
      <c r="B165" s="20" t="s">
        <v>499</v>
      </c>
      <c r="C165" s="20" t="s">
        <v>407</v>
      </c>
      <c r="D165" s="21">
        <v>0.8</v>
      </c>
      <c r="E165" s="42">
        <v>3.3333333333333333E-2</v>
      </c>
      <c r="F165" s="21">
        <v>0.01</v>
      </c>
      <c r="G165" s="21">
        <v>80</v>
      </c>
      <c r="H165" s="26">
        <f t="shared" si="12"/>
        <v>3.333333333333333</v>
      </c>
      <c r="L165" s="21">
        <v>30</v>
      </c>
      <c r="M165" s="21" t="s">
        <v>502</v>
      </c>
      <c r="N165" s="21" t="s">
        <v>184</v>
      </c>
      <c r="P165" s="21">
        <f t="shared" si="11"/>
        <v>0</v>
      </c>
      <c r="Q165" s="21" t="s">
        <v>500</v>
      </c>
      <c r="R165" s="21" t="s">
        <v>501</v>
      </c>
      <c r="S165" s="22" t="s">
        <v>503</v>
      </c>
    </row>
    <row r="166" spans="1:19" x14ac:dyDescent="0.25">
      <c r="A166" s="19">
        <v>42</v>
      </c>
      <c r="B166" s="20" t="s">
        <v>499</v>
      </c>
      <c r="C166" s="18" t="s">
        <v>557</v>
      </c>
      <c r="D166" s="21">
        <v>0.8</v>
      </c>
      <c r="E166" s="42">
        <v>3.3333333333333333E-2</v>
      </c>
      <c r="F166" s="21">
        <v>0.01</v>
      </c>
      <c r="G166" s="21">
        <v>80</v>
      </c>
      <c r="H166" s="26">
        <f t="shared" si="12"/>
        <v>3.333333333333333</v>
      </c>
      <c r="L166" s="21">
        <v>30</v>
      </c>
      <c r="M166" s="21" t="s">
        <v>502</v>
      </c>
      <c r="N166" s="21" t="s">
        <v>184</v>
      </c>
      <c r="P166" s="21">
        <f t="shared" si="11"/>
        <v>0</v>
      </c>
      <c r="Q166" s="21" t="s">
        <v>500</v>
      </c>
      <c r="R166" s="21" t="s">
        <v>501</v>
      </c>
      <c r="S166" s="22" t="s">
        <v>503</v>
      </c>
    </row>
    <row r="167" spans="1:19" x14ac:dyDescent="0.25">
      <c r="A167" s="19">
        <v>43</v>
      </c>
      <c r="B167" s="20" t="s">
        <v>499</v>
      </c>
      <c r="C167" s="18" t="s">
        <v>558</v>
      </c>
      <c r="D167" s="21">
        <v>0.8</v>
      </c>
      <c r="E167" s="42">
        <v>3.3333333333333333E-2</v>
      </c>
      <c r="F167" s="21">
        <v>0.01</v>
      </c>
      <c r="G167" s="21">
        <v>80</v>
      </c>
      <c r="H167" s="26">
        <f t="shared" si="12"/>
        <v>3.333333333333333</v>
      </c>
      <c r="L167" s="21">
        <v>30</v>
      </c>
      <c r="M167" s="21" t="s">
        <v>502</v>
      </c>
      <c r="N167" s="21" t="s">
        <v>184</v>
      </c>
      <c r="P167" s="21">
        <f t="shared" si="11"/>
        <v>0</v>
      </c>
      <c r="Q167" s="21" t="s">
        <v>500</v>
      </c>
      <c r="R167" s="21" t="s">
        <v>501</v>
      </c>
      <c r="S167" s="22" t="s">
        <v>503</v>
      </c>
    </row>
    <row r="168" spans="1:19" x14ac:dyDescent="0.25">
      <c r="A168" s="19">
        <v>44</v>
      </c>
      <c r="B168" s="20" t="s">
        <v>499</v>
      </c>
      <c r="C168" s="18" t="s">
        <v>559</v>
      </c>
      <c r="D168" s="21">
        <v>0.8</v>
      </c>
      <c r="E168" s="42">
        <v>3.3333333333333333E-2</v>
      </c>
      <c r="F168" s="21">
        <v>0.01</v>
      </c>
      <c r="G168" s="21">
        <v>80</v>
      </c>
      <c r="H168" s="26">
        <f t="shared" si="12"/>
        <v>3.333333333333333</v>
      </c>
      <c r="L168" s="21">
        <v>30</v>
      </c>
      <c r="M168" s="21" t="s">
        <v>502</v>
      </c>
      <c r="N168" s="21" t="s">
        <v>184</v>
      </c>
      <c r="P168" s="21">
        <f t="shared" si="11"/>
        <v>0</v>
      </c>
      <c r="Q168" s="21" t="s">
        <v>500</v>
      </c>
      <c r="R168" s="21" t="s">
        <v>501</v>
      </c>
      <c r="S168" s="22" t="s">
        <v>503</v>
      </c>
    </row>
    <row r="169" spans="1:19" x14ac:dyDescent="0.25">
      <c r="A169" s="19">
        <v>45</v>
      </c>
      <c r="B169" s="20" t="s">
        <v>499</v>
      </c>
      <c r="C169" s="18" t="s">
        <v>560</v>
      </c>
      <c r="D169" s="21">
        <v>0.8</v>
      </c>
      <c r="E169" s="42">
        <v>3.3333333333333333E-2</v>
      </c>
      <c r="F169" s="21">
        <v>0.01</v>
      </c>
      <c r="G169" s="21">
        <v>80</v>
      </c>
      <c r="H169" s="26">
        <f t="shared" si="12"/>
        <v>3.333333333333333</v>
      </c>
      <c r="L169" s="21">
        <v>30</v>
      </c>
      <c r="M169" s="21" t="s">
        <v>502</v>
      </c>
      <c r="N169" s="21" t="s">
        <v>184</v>
      </c>
      <c r="P169" s="21">
        <f t="shared" si="11"/>
        <v>0</v>
      </c>
      <c r="Q169" s="21" t="s">
        <v>500</v>
      </c>
      <c r="R169" s="21" t="s">
        <v>501</v>
      </c>
      <c r="S169" s="22" t="s">
        <v>503</v>
      </c>
    </row>
    <row r="170" spans="1:19" ht="18" x14ac:dyDescent="0.35">
      <c r="A170" s="19">
        <v>46</v>
      </c>
      <c r="B170" s="20" t="s">
        <v>556</v>
      </c>
      <c r="C170" s="18" t="s">
        <v>561</v>
      </c>
      <c r="D170" s="21">
        <v>1</v>
      </c>
      <c r="E170" s="42">
        <v>2.0625000000000001E-2</v>
      </c>
      <c r="F170" s="26">
        <v>0.3</v>
      </c>
      <c r="G170" s="21">
        <v>3.3000000000000003</v>
      </c>
      <c r="H170" s="26">
        <f t="shared" si="12"/>
        <v>6.8750000000000006E-2</v>
      </c>
      <c r="K170" s="21">
        <v>100</v>
      </c>
      <c r="L170" s="21">
        <v>40</v>
      </c>
      <c r="M170" s="21" t="s">
        <v>504</v>
      </c>
      <c r="N170" s="21" t="s">
        <v>621</v>
      </c>
      <c r="O170" s="21">
        <v>4000</v>
      </c>
      <c r="P170" s="21">
        <f t="shared" si="11"/>
        <v>4000</v>
      </c>
      <c r="Q170" s="23" t="s">
        <v>506</v>
      </c>
      <c r="R170" s="21">
        <v>1</v>
      </c>
      <c r="S170" s="22" t="s">
        <v>505</v>
      </c>
    </row>
    <row r="171" spans="1:19" ht="18" x14ac:dyDescent="0.35">
      <c r="A171" s="19">
        <v>47</v>
      </c>
      <c r="B171" s="20" t="s">
        <v>556</v>
      </c>
      <c r="C171" s="20" t="s">
        <v>407</v>
      </c>
      <c r="D171" s="21">
        <v>1</v>
      </c>
      <c r="E171" s="26">
        <v>9.7916666666666655E-3</v>
      </c>
      <c r="F171" s="21">
        <v>0.3</v>
      </c>
      <c r="G171" s="26">
        <v>1.5666666666666667</v>
      </c>
      <c r="H171" s="26">
        <f t="shared" si="12"/>
        <v>3.2638888888888884E-2</v>
      </c>
      <c r="K171" s="21">
        <v>99</v>
      </c>
      <c r="L171" s="21">
        <v>40</v>
      </c>
      <c r="M171" s="21" t="s">
        <v>504</v>
      </c>
      <c r="N171" s="21" t="s">
        <v>621</v>
      </c>
      <c r="O171" s="21">
        <v>4000</v>
      </c>
      <c r="P171" s="21">
        <f t="shared" si="11"/>
        <v>4000</v>
      </c>
      <c r="Q171" s="23" t="s">
        <v>506</v>
      </c>
      <c r="R171" s="21">
        <v>1</v>
      </c>
      <c r="S171" s="22" t="s">
        <v>505</v>
      </c>
    </row>
    <row r="172" spans="1:19" ht="48" x14ac:dyDescent="0.25">
      <c r="A172" s="19">
        <v>48</v>
      </c>
      <c r="B172" s="20" t="s">
        <v>555</v>
      </c>
      <c r="C172" s="18" t="s">
        <v>562</v>
      </c>
      <c r="D172" s="26">
        <v>27.777777777777779</v>
      </c>
      <c r="E172" s="26">
        <v>0.35532407407407401</v>
      </c>
      <c r="F172" s="26">
        <v>0.16835016835016836</v>
      </c>
      <c r="G172" s="26">
        <v>151.96499999999997</v>
      </c>
      <c r="H172" s="26">
        <f t="shared" si="12"/>
        <v>2.1106249999999993</v>
      </c>
      <c r="J172" s="21">
        <v>100</v>
      </c>
      <c r="K172" s="21">
        <v>100</v>
      </c>
      <c r="L172" s="21">
        <v>55</v>
      </c>
      <c r="M172" s="21" t="s">
        <v>504</v>
      </c>
      <c r="N172" s="23" t="s">
        <v>635</v>
      </c>
      <c r="P172" s="21">
        <f t="shared" si="11"/>
        <v>0</v>
      </c>
      <c r="Q172" s="21" t="s">
        <v>506</v>
      </c>
      <c r="R172" s="21" t="s">
        <v>507</v>
      </c>
      <c r="S172" s="22" t="s">
        <v>508</v>
      </c>
    </row>
    <row r="173" spans="1:19" ht="48" x14ac:dyDescent="0.25">
      <c r="A173" s="19">
        <v>49</v>
      </c>
      <c r="B173" s="20" t="s">
        <v>555</v>
      </c>
      <c r="C173" s="60" t="s">
        <v>509</v>
      </c>
      <c r="D173" s="26">
        <v>27.777777777777779</v>
      </c>
      <c r="E173" s="26">
        <v>0.52141203703703709</v>
      </c>
      <c r="F173" s="26">
        <v>0.16835016835016836</v>
      </c>
      <c r="G173" s="26">
        <v>148.66499999999999</v>
      </c>
      <c r="H173" s="26">
        <f t="shared" si="12"/>
        <v>3.0971875</v>
      </c>
      <c r="J173" s="21">
        <v>100</v>
      </c>
      <c r="K173" s="21">
        <v>100</v>
      </c>
      <c r="L173" s="21">
        <v>55</v>
      </c>
      <c r="M173" s="21" t="s">
        <v>504</v>
      </c>
      <c r="N173" s="23" t="s">
        <v>635</v>
      </c>
      <c r="O173" s="21">
        <v>229</v>
      </c>
      <c r="P173" s="21">
        <f t="shared" si="11"/>
        <v>8.2439999999999998</v>
      </c>
      <c r="Q173" s="21" t="s">
        <v>506</v>
      </c>
      <c r="R173" s="21" t="s">
        <v>507</v>
      </c>
      <c r="S173" s="22" t="s">
        <v>508</v>
      </c>
    </row>
    <row r="174" spans="1:19" ht="18.75" x14ac:dyDescent="0.35">
      <c r="A174" s="19">
        <v>50</v>
      </c>
      <c r="B174" s="20" t="s">
        <v>644</v>
      </c>
      <c r="C174" s="20" t="s">
        <v>405</v>
      </c>
      <c r="D174" s="21">
        <v>0.5</v>
      </c>
      <c r="E174" s="21">
        <v>5.2200000000000006</v>
      </c>
      <c r="F174" s="21" t="s">
        <v>511</v>
      </c>
      <c r="J174" s="21">
        <v>100</v>
      </c>
      <c r="K174" s="21">
        <v>100</v>
      </c>
      <c r="L174" s="21">
        <v>40</v>
      </c>
      <c r="M174" s="21" t="s">
        <v>510</v>
      </c>
      <c r="N174" s="21" t="s">
        <v>621</v>
      </c>
      <c r="O174" s="21">
        <v>9100</v>
      </c>
      <c r="P174" s="21">
        <f t="shared" si="11"/>
        <v>18200</v>
      </c>
      <c r="S174" s="22" t="s">
        <v>512</v>
      </c>
    </row>
    <row r="175" spans="1:19" ht="18" x14ac:dyDescent="0.35">
      <c r="A175" s="30">
        <v>51</v>
      </c>
      <c r="B175" s="32" t="s">
        <v>516</v>
      </c>
      <c r="C175" s="32" t="s">
        <v>405</v>
      </c>
      <c r="D175" s="33">
        <v>500</v>
      </c>
      <c r="E175" s="33">
        <v>49.5</v>
      </c>
      <c r="F175" s="33" t="s">
        <v>514</v>
      </c>
      <c r="G175" s="33"/>
      <c r="H175" s="33"/>
      <c r="I175" s="33"/>
      <c r="J175" s="33">
        <v>100</v>
      </c>
      <c r="K175" s="33">
        <v>100</v>
      </c>
      <c r="L175" s="33">
        <v>20</v>
      </c>
      <c r="M175" s="33" t="s">
        <v>513</v>
      </c>
      <c r="N175" s="33" t="s">
        <v>621</v>
      </c>
      <c r="O175" s="33">
        <v>1000</v>
      </c>
      <c r="P175" s="33">
        <f t="shared" si="11"/>
        <v>2</v>
      </c>
      <c r="Q175" s="33" t="s">
        <v>506</v>
      </c>
      <c r="R175" s="33">
        <v>6250</v>
      </c>
      <c r="S175" s="36" t="s">
        <v>515</v>
      </c>
    </row>
    <row r="176" spans="1:19" x14ac:dyDescent="0.25">
      <c r="E176" s="42"/>
    </row>
    <row r="177" spans="2:16" x14ac:dyDescent="0.25">
      <c r="E177" s="42"/>
    </row>
    <row r="178" spans="2:16" x14ac:dyDescent="0.25">
      <c r="E178" s="42"/>
    </row>
    <row r="179" spans="2:16" x14ac:dyDescent="0.25">
      <c r="E179" s="42"/>
    </row>
    <row r="180" spans="2:16" x14ac:dyDescent="0.25">
      <c r="E180" s="42"/>
    </row>
    <row r="181" spans="2:16" x14ac:dyDescent="0.25">
      <c r="E181" s="42"/>
    </row>
    <row r="182" spans="2:16" x14ac:dyDescent="0.25">
      <c r="E182" s="42"/>
    </row>
    <row r="189" spans="2:16" x14ac:dyDescent="0.25">
      <c r="G189" s="66"/>
      <c r="H189" s="66"/>
      <c r="I189" s="66"/>
    </row>
    <row r="190" spans="2:16" x14ac:dyDescent="0.25">
      <c r="B190" s="27"/>
      <c r="C190" s="27"/>
      <c r="D190" s="23"/>
      <c r="F190" s="23"/>
      <c r="I190" s="23"/>
      <c r="M190" s="23"/>
      <c r="N190" s="23"/>
      <c r="O190" s="23"/>
      <c r="P190" s="23"/>
    </row>
    <row r="203" spans="6:6" x14ac:dyDescent="0.25">
      <c r="F203" s="67"/>
    </row>
    <row r="227" spans="5:5" x14ac:dyDescent="0.25">
      <c r="E227" s="25"/>
    </row>
    <row r="228" spans="5:5" x14ac:dyDescent="0.25">
      <c r="E228" s="25"/>
    </row>
  </sheetData>
  <mergeCells count="4">
    <mergeCell ref="G189:I189"/>
    <mergeCell ref="A2:S2"/>
    <mergeCell ref="A54:S54"/>
    <mergeCell ref="A124:S1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of 3 reactions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2023-09-19T13:12:20Z</dcterms:modified>
</cp:coreProperties>
</file>