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tables/table1.xml" ContentType="application/vnd.openxmlformats-officedocument.spreadsheetml.table+xml"/>
  <Override PartName="/xl/comments2.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https://wageningenur4.sharepoint.com/sites/OptimisedPulses_INTERN/Gedeelde documenten/General/05-Deliverables, publications and communication/03 Reports, publications, conferences/WP4 Article on Toasting/Replication package_v2/"/>
    </mc:Choice>
  </mc:AlternateContent>
  <xr:revisionPtr revIDLastSave="2" documentId="13_ncr:1_{EF798173-3AA4-4675-BD81-5157F7A0D661}" xr6:coauthVersionLast="47" xr6:coauthVersionMax="47" xr10:uidLastSave="{A3914724-8071-4E03-A2E1-0308EBE2D1EF}"/>
  <bookViews>
    <workbookView xWindow="28680" yWindow="-2925" windowWidth="29040" windowHeight="15720" activeTab="1" xr2:uid="{00000000-000D-0000-FFFF-FFFF00000000}"/>
  </bookViews>
  <sheets>
    <sheet name="info" sheetId="2" r:id="rId1"/>
    <sheet name="data" sheetId="13"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19" i="13" l="1"/>
  <c r="AD19" i="13"/>
  <c r="AB19" i="13"/>
  <c r="AA19" i="13"/>
  <c r="Z19" i="13"/>
  <c r="Y19" i="13"/>
  <c r="S19" i="13"/>
  <c r="AC19" i="13" s="1"/>
  <c r="AO18" i="13"/>
  <c r="AE18" i="13"/>
  <c r="AD18" i="13"/>
  <c r="AB18" i="13"/>
  <c r="AA18" i="13"/>
  <c r="Z18" i="13"/>
  <c r="Y18" i="13"/>
  <c r="S18" i="13"/>
  <c r="AC18" i="13" s="1"/>
  <c r="AE17" i="13"/>
  <c r="AD17" i="13"/>
  <c r="AB17" i="13"/>
  <c r="AA17" i="13"/>
  <c r="Z17" i="13"/>
  <c r="Y17" i="13"/>
  <c r="S17" i="13"/>
  <c r="AC17" i="13" s="1"/>
  <c r="E17" i="13"/>
  <c r="I17" i="13" s="1"/>
  <c r="AE16" i="13"/>
  <c r="AD16" i="13"/>
  <c r="AB16" i="13"/>
  <c r="AA16" i="13"/>
  <c r="Z16" i="13"/>
  <c r="Y16" i="13"/>
  <c r="S16" i="13"/>
  <c r="AC16" i="13" s="1"/>
  <c r="AO15" i="13"/>
  <c r="AE15" i="13"/>
  <c r="AD15" i="13"/>
  <c r="AB15" i="13"/>
  <c r="AA15" i="13"/>
  <c r="Z15" i="13"/>
  <c r="Y15" i="13"/>
  <c r="S15" i="13"/>
  <c r="AC15" i="13" s="1"/>
  <c r="AE14" i="13"/>
  <c r="AD14" i="13"/>
  <c r="AB14" i="13"/>
  <c r="AA14" i="13"/>
  <c r="Z14" i="13"/>
  <c r="Y14" i="13"/>
  <c r="S14" i="13"/>
  <c r="AC14" i="13" s="1"/>
  <c r="E14" i="13"/>
  <c r="I14" i="13" s="1"/>
  <c r="AE13" i="13"/>
  <c r="AD13" i="13"/>
  <c r="AB13" i="13"/>
  <c r="AA13" i="13"/>
  <c r="Z13" i="13"/>
  <c r="Y13" i="13"/>
  <c r="S13" i="13"/>
  <c r="AC13" i="13" s="1"/>
  <c r="AO12" i="13"/>
  <c r="AE12" i="13"/>
  <c r="AD12" i="13"/>
  <c r="AB12" i="13"/>
  <c r="AA12" i="13"/>
  <c r="Z12" i="13"/>
  <c r="Y12" i="13"/>
  <c r="S12" i="13"/>
  <c r="AC12" i="13" s="1"/>
  <c r="AE11" i="13"/>
  <c r="AD11" i="13"/>
  <c r="AB11" i="13"/>
  <c r="AA11" i="13"/>
  <c r="Z11" i="13"/>
  <c r="Y11" i="13"/>
  <c r="S11" i="13"/>
  <c r="AC11" i="13" s="1"/>
  <c r="E11" i="13"/>
  <c r="I11" i="13" s="1"/>
  <c r="AE10" i="13"/>
  <c r="AD10" i="13"/>
  <c r="AB10" i="13"/>
  <c r="Z10" i="13"/>
  <c r="Y10" i="13"/>
  <c r="S10" i="13"/>
  <c r="AC10" i="13" s="1"/>
  <c r="AO9" i="13"/>
  <c r="AE9" i="13"/>
  <c r="AD9" i="13"/>
  <c r="AB9" i="13"/>
  <c r="AA9" i="13"/>
  <c r="Z9" i="13"/>
  <c r="Y9" i="13"/>
  <c r="S9" i="13"/>
  <c r="AC9" i="13" s="1"/>
  <c r="AE8" i="13"/>
  <c r="AD8" i="13"/>
  <c r="AB8" i="13"/>
  <c r="AA8" i="13"/>
  <c r="Z8" i="13"/>
  <c r="Y8" i="13"/>
  <c r="S8" i="13"/>
  <c r="AC8" i="13" s="1"/>
  <c r="E8" i="13"/>
  <c r="I8" i="13" s="1"/>
  <c r="AE7" i="13"/>
  <c r="AD7" i="13"/>
  <c r="AB7" i="13"/>
  <c r="AA7" i="13"/>
  <c r="Z7" i="13"/>
  <c r="Y7" i="13"/>
  <c r="S7" i="13"/>
  <c r="AC7" i="13" s="1"/>
  <c r="AO6" i="13"/>
  <c r="AE6" i="13"/>
  <c r="AD6" i="13"/>
  <c r="AB6" i="13"/>
  <c r="AA6" i="13"/>
  <c r="Z6" i="13"/>
  <c r="Y6" i="13"/>
  <c r="S6" i="13"/>
  <c r="AC6" i="13" s="1"/>
  <c r="AE5" i="13"/>
  <c r="AD5" i="13"/>
  <c r="AB5" i="13"/>
  <c r="AA5" i="13"/>
  <c r="Z5" i="13"/>
  <c r="Y5" i="13"/>
  <c r="S5" i="13"/>
  <c r="AC5" i="13" s="1"/>
  <c r="E5" i="13"/>
  <c r="I5" i="13" s="1"/>
  <c r="AE4" i="13"/>
  <c r="AD4" i="13"/>
  <c r="AB4" i="13"/>
  <c r="AA4" i="13"/>
  <c r="Z4" i="13"/>
  <c r="Y4" i="13"/>
  <c r="S4" i="13"/>
  <c r="AC4" i="13" s="1"/>
  <c r="AO3" i="13"/>
  <c r="AE3" i="13"/>
  <c r="AD3" i="13"/>
  <c r="AB3" i="13"/>
  <c r="AA3" i="13"/>
  <c r="Z3" i="13"/>
  <c r="Y3" i="13"/>
  <c r="S3" i="13"/>
  <c r="AC3" i="13" s="1"/>
  <c r="AE2" i="13"/>
  <c r="AD2" i="13"/>
  <c r="AB2" i="13"/>
  <c r="AA2" i="13"/>
  <c r="Z2" i="13"/>
  <c r="Y2" i="13"/>
  <c r="S2" i="13"/>
  <c r="AC2" i="13" s="1"/>
  <c r="E2" i="13"/>
  <c r="I2" i="13" s="1"/>
  <c r="AG15" i="13" l="1"/>
  <c r="AK12" i="13"/>
  <c r="AK11" i="13"/>
  <c r="AI12" i="13"/>
  <c r="AL12" i="13" s="1"/>
  <c r="AI13" i="13"/>
  <c r="AL13" i="13" s="1"/>
  <c r="AH10" i="13"/>
  <c r="AK13" i="13"/>
  <c r="AI10" i="13"/>
  <c r="AL10" i="13" s="1"/>
  <c r="AH18" i="13"/>
  <c r="AI18" i="13"/>
  <c r="AL18" i="13" s="1"/>
  <c r="AI9" i="13"/>
  <c r="AL9" i="13" s="1"/>
  <c r="AF17" i="13"/>
  <c r="AF15" i="13"/>
  <c r="AF4" i="13"/>
  <c r="AI3" i="13"/>
  <c r="AL3" i="13" s="1"/>
  <c r="AH3" i="13"/>
  <c r="AF14" i="13"/>
  <c r="AK14" i="13"/>
  <c r="AK7" i="13"/>
  <c r="AI4" i="13"/>
  <c r="AJ4" i="13" s="1"/>
  <c r="AG14" i="13"/>
  <c r="AI2" i="13"/>
  <c r="AL2" i="13" s="1"/>
  <c r="AH2" i="13"/>
  <c r="AH5" i="13"/>
  <c r="AH6" i="13"/>
  <c r="AI16" i="13"/>
  <c r="AL16" i="13" s="1"/>
  <c r="AU5" i="13"/>
  <c r="AK6" i="13"/>
  <c r="AF2" i="13"/>
  <c r="AF3" i="13"/>
  <c r="AK4" i="13"/>
  <c r="AG2" i="13"/>
  <c r="AG10" i="13"/>
  <c r="AG13" i="13"/>
  <c r="AK5" i="13"/>
  <c r="AG18" i="13"/>
  <c r="AK19" i="13"/>
  <c r="AF7" i="13"/>
  <c r="AU11" i="13"/>
  <c r="AG3" i="13"/>
  <c r="AK8" i="13"/>
  <c r="AF11" i="13"/>
  <c r="AK17" i="13"/>
  <c r="AF18" i="13"/>
  <c r="AK2" i="13"/>
  <c r="AG7" i="13"/>
  <c r="AK9" i="13"/>
  <c r="AF12" i="13"/>
  <c r="AH16" i="13"/>
  <c r="AI17" i="13"/>
  <c r="AL17" i="13" s="1"/>
  <c r="AK18" i="13"/>
  <c r="AU2" i="13"/>
  <c r="AI8" i="13"/>
  <c r="AL8" i="13" s="1"/>
  <c r="AK10" i="13"/>
  <c r="AK3" i="13"/>
  <c r="AF5" i="13"/>
  <c r="AF6" i="13"/>
  <c r="AH13" i="13"/>
  <c r="AK15" i="13"/>
  <c r="AU14" i="13"/>
  <c r="AH17" i="13"/>
  <c r="AG17" i="13"/>
  <c r="AI19" i="13"/>
  <c r="AL19" i="13" s="1"/>
  <c r="AG16" i="13"/>
  <c r="AI11" i="13"/>
  <c r="AJ11" i="13" s="1"/>
  <c r="AG4" i="13"/>
  <c r="AH7" i="13"/>
  <c r="AF8" i="13"/>
  <c r="AF9" i="13"/>
  <c r="AG11" i="13"/>
  <c r="AG12" i="13"/>
  <c r="AH14" i="13"/>
  <c r="AH15" i="13"/>
  <c r="AK16" i="13"/>
  <c r="AF19" i="13"/>
  <c r="AH4" i="13"/>
  <c r="AI7" i="13"/>
  <c r="AL7" i="13" s="1"/>
  <c r="AG8" i="13"/>
  <c r="AG9" i="13"/>
  <c r="AH11" i="13"/>
  <c r="AH12" i="13"/>
  <c r="AR12" i="13"/>
  <c r="AI14" i="13"/>
  <c r="AI15" i="13"/>
  <c r="AL15" i="13" s="1"/>
  <c r="AG19" i="13"/>
  <c r="AG5" i="13"/>
  <c r="AG6" i="13"/>
  <c r="AH8" i="13"/>
  <c r="AH9" i="13"/>
  <c r="AH19" i="13"/>
  <c r="AF16" i="13"/>
  <c r="AI5" i="13"/>
  <c r="AI6" i="13"/>
  <c r="AF13" i="13"/>
  <c r="AJ18" i="13" l="1"/>
  <c r="AJ13" i="13"/>
  <c r="AS12" i="13"/>
  <c r="AJ12" i="13"/>
  <c r="AQ12" i="13" s="1"/>
  <c r="AJ10" i="13"/>
  <c r="AJ9" i="13"/>
  <c r="AJ3" i="13"/>
  <c r="AS9" i="13"/>
  <c r="AR18" i="13"/>
  <c r="AJ8" i="13"/>
  <c r="AJ16" i="13"/>
  <c r="AR9" i="13"/>
  <c r="AU9" i="13"/>
  <c r="AS6" i="13"/>
  <c r="AU3" i="13"/>
  <c r="AU4" i="13" s="1"/>
  <c r="AL4" i="13"/>
  <c r="AJ2" i="13"/>
  <c r="AL11" i="13"/>
  <c r="AS15" i="13"/>
  <c r="AR6" i="13"/>
  <c r="AS3" i="13"/>
  <c r="AU12" i="13"/>
  <c r="AU13" i="13" s="1"/>
  <c r="AS18" i="13"/>
  <c r="AR3" i="13"/>
  <c r="AR15" i="13"/>
  <c r="AJ19" i="13"/>
  <c r="AJ17" i="13"/>
  <c r="AL14" i="13"/>
  <c r="AU15" i="13"/>
  <c r="AU16" i="13" s="1"/>
  <c r="AJ14" i="13"/>
  <c r="AJ6" i="13"/>
  <c r="AL6" i="13"/>
  <c r="AJ7" i="13"/>
  <c r="AU6" i="13"/>
  <c r="AU7" i="13" s="1"/>
  <c r="AJ5" i="13"/>
  <c r="AL5" i="13"/>
  <c r="AJ15" i="13"/>
  <c r="AP3" i="13" l="1"/>
  <c r="AP12" i="13"/>
  <c r="AP9" i="13"/>
  <c r="AQ9" i="13"/>
  <c r="AQ3" i="13"/>
  <c r="AQ18" i="13"/>
  <c r="AP18" i="13"/>
  <c r="AQ6" i="13"/>
  <c r="AP6" i="13"/>
  <c r="AP15" i="13"/>
  <c r="AQ15" i="13"/>
  <c r="AA10" i="13" l="1"/>
  <c r="AU8" i="13" s="1"/>
  <c r="AU10" i="13" s="1"/>
  <c r="AF10"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Schenkel, Marieke</author>
  </authors>
  <commentList>
    <comment ref="D12" authorId="0" shapeId="0" xr:uid="{D5AB88F4-9717-489C-B1A3-BD910475F37E}">
      <text>
        <r>
          <rPr>
            <b/>
            <sz val="9"/>
            <color indexed="81"/>
            <rFont val="Tahoma"/>
            <charset val="1"/>
          </rPr>
          <t>Schenkel, Marieke:</t>
        </r>
        <r>
          <rPr>
            <sz val="9"/>
            <color indexed="81"/>
            <rFont val="Tahoma"/>
            <charset val="1"/>
          </rPr>
          <t xml:space="preserve">
Discussed with Laurice as well to do it this way.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Schenkel, Marieke</author>
  </authors>
  <commentList>
    <comment ref="Q14" authorId="0" shapeId="0" xr:uid="{530607BF-F639-4D93-A812-1BD22CFD25EE}">
      <text>
        <r>
          <rPr>
            <b/>
            <sz val="9"/>
            <color indexed="81"/>
            <rFont val="Tahoma"/>
            <charset val="1"/>
          </rPr>
          <t>Schenkel, Marieke:</t>
        </r>
        <r>
          <rPr>
            <sz val="9"/>
            <color indexed="81"/>
            <rFont val="Tahoma"/>
            <charset val="1"/>
          </rPr>
          <t xml:space="preserve">
A drop of 0,0531 grams fell next to the tray. It was soaked up with a tared tissue and weighed and added up to the supernatant. </t>
        </r>
      </text>
    </comment>
  </commentList>
</comments>
</file>

<file path=xl/sharedStrings.xml><?xml version="1.0" encoding="utf-8"?>
<sst xmlns="http://schemas.openxmlformats.org/spreadsheetml/2006/main" count="109" uniqueCount="86">
  <si>
    <t>Sample name</t>
  </si>
  <si>
    <t>Water (g)</t>
  </si>
  <si>
    <t>Empty tube (g)</t>
  </si>
  <si>
    <t>Tube + dried pellet (g)</t>
  </si>
  <si>
    <t>Tube + pellet (g)</t>
  </si>
  <si>
    <t>Sample (g)</t>
  </si>
  <si>
    <t>Supernatant (g)</t>
  </si>
  <si>
    <t>Dried pellet (g)</t>
  </si>
  <si>
    <t>Dried supernatant (g)</t>
  </si>
  <si>
    <t>Remarks</t>
  </si>
  <si>
    <t>Column1</t>
  </si>
  <si>
    <t>pH (-)</t>
  </si>
  <si>
    <t>Conductivity 1 (uS/cm)</t>
  </si>
  <si>
    <t>Conductivity 2 (uS/cm)</t>
  </si>
  <si>
    <t>WHC insoluble fraction</t>
  </si>
  <si>
    <t>Wet pellet (g)</t>
  </si>
  <si>
    <t>fraction wet pellet</t>
  </si>
  <si>
    <t>Avg Conductivity (uS/cm)</t>
  </si>
  <si>
    <t>Solubility (%)</t>
  </si>
  <si>
    <t>Total DM (g)</t>
  </si>
  <si>
    <t>DM in supernatant (%)</t>
  </si>
  <si>
    <t>DM in pellet (%)</t>
  </si>
  <si>
    <t>Empty tray for supernatant (g)</t>
  </si>
  <si>
    <t>Tray + supernatant (g)</t>
  </si>
  <si>
    <t>Tray + dried supernatant (g)</t>
  </si>
  <si>
    <t>Number</t>
  </si>
  <si>
    <t>average solubility</t>
  </si>
  <si>
    <t>average WHC of the insoluble fraction</t>
  </si>
  <si>
    <t>std of the solubility</t>
  </si>
  <si>
    <t>std of the WHC</t>
  </si>
  <si>
    <t>total weight</t>
  </si>
  <si>
    <t>total DM</t>
  </si>
  <si>
    <t>weight fraction</t>
  </si>
  <si>
    <t>Protocol</t>
  </si>
  <si>
    <t>(standard in the excel file that’s used for these measurements</t>
  </si>
  <si>
    <t>DM%</t>
  </si>
  <si>
    <t>Powder (g) for 100g 4% DM w/w</t>
  </si>
  <si>
    <t>Powder (g) weighed</t>
  </si>
  <si>
    <t>Water (g) weighed</t>
  </si>
  <si>
    <t>Cap (g)</t>
  </si>
  <si>
    <t>Tube + sample after stirring &amp; centrifuge (g)</t>
  </si>
  <si>
    <t>Cap before drying (g)</t>
  </si>
  <si>
    <t>Extra supernatant by pipet (g)</t>
  </si>
  <si>
    <t>Total supernatant (g)</t>
  </si>
  <si>
    <t>out oven</t>
  </si>
  <si>
    <t>time in oven</t>
  </si>
  <si>
    <t>in oven</t>
  </si>
  <si>
    <t>Cap content before drying (g)</t>
  </si>
  <si>
    <t>Cap content after drying (g)</t>
  </si>
  <si>
    <t>Cap after drying (g)</t>
  </si>
  <si>
    <t>Recovery (%)</t>
  </si>
  <si>
    <r>
      <t>Dispersibility</t>
    </r>
    <r>
      <rPr>
        <sz val="11"/>
        <color theme="1"/>
        <rFont val="Calibri"/>
        <family val="2"/>
        <scheme val="minor"/>
      </rPr>
      <t xml:space="preserve"> is defined by dividing the dry matter in the supernatant by the total dry matter of the starting solution.</t>
    </r>
  </si>
  <si>
    <r>
      <t>Water binding capacity of insoluble matter</t>
    </r>
    <r>
      <rPr>
        <sz val="11"/>
        <color theme="1"/>
        <rFont val="Calibri"/>
        <family val="2"/>
        <scheme val="minor"/>
      </rPr>
      <t xml:space="preserve"> is defined by dividing the wet pellet weight by the dry pellet weight.</t>
    </r>
  </si>
  <si>
    <t>FT 2022-412</t>
  </si>
  <si>
    <t>Faba concentrate FB NT - F NTm20z4F8</t>
  </si>
  <si>
    <t>FT 2022-413</t>
  </si>
  <si>
    <t>Faba concentrate F T - F SHS30 m20z4F8</t>
  </si>
  <si>
    <t>FT 2022-414</t>
  </si>
  <si>
    <t>Faba concentrate FB NT DH120 - F NT m20z4F8 H120</t>
  </si>
  <si>
    <t>FT 2022-415</t>
  </si>
  <si>
    <t>Pea concentrate P NT - YP NTm20z4F8</t>
  </si>
  <si>
    <t>FT 2022-416</t>
  </si>
  <si>
    <t>Pea concentrate P T - P SHS30 m20z4F8</t>
  </si>
  <si>
    <t>FT 2022-417</t>
  </si>
  <si>
    <t>Pea concentrate P NT DH120 - P NT m20z4F8 DH120</t>
  </si>
  <si>
    <t>Faba concentrate FB NT - F NTm20z4F9</t>
  </si>
  <si>
    <t>Faba concentrate FB NT - F NTm20z4F10</t>
  </si>
  <si>
    <t>Faba concentrate F T - F SHS30 m20z4F9</t>
  </si>
  <si>
    <t>Faba concentrate F T - F SHS30 m20z4F10</t>
  </si>
  <si>
    <t>Faba concentrate FB NT DH120 - F NT m20z4F8 H121</t>
  </si>
  <si>
    <t>Faba concentrate FB NT DH120 - F NT m20z4F8 H122</t>
  </si>
  <si>
    <t>Pea concentrate P NT - YP NTm20z4F9</t>
  </si>
  <si>
    <t>Pea concentrate P NT - YP NTm20z4F10</t>
  </si>
  <si>
    <t>Pea concentrate P T - P SHS30 m20z4F9</t>
  </si>
  <si>
    <t>Pea concentrate P T - P SHS30 m20z4F10</t>
  </si>
  <si>
    <t>Pea concentrate P NT DH120 - P NT m20z4F8 DH121</t>
  </si>
  <si>
    <t>Pea concentrate P NT DH120 - P NT m20z4F8 DH122</t>
  </si>
  <si>
    <t xml:space="preserve">No problems separating supernatant from pellet. </t>
  </si>
  <si>
    <t xml:space="preserve">Easier to separate, though top layer of the pellet still enters supernatant in the last bit. Tried to keep as separated as possible. </t>
  </si>
  <si>
    <t>Layers</t>
  </si>
  <si>
    <t>Pellet consists of three layers, though top layer is softer it is easier to separate compared to 37 and 39, but still a tiny bit of top layer will come along with the supernatant in the last bit.</t>
  </si>
  <si>
    <t>2 to 3</t>
  </si>
  <si>
    <t xml:space="preserve">The other top layers were a mixture of pellet/supernatant in such a way that no ''clear'' supernatant could be retrieved by pipet. </t>
  </si>
  <si>
    <t xml:space="preserve">Only of the pellet that was easy to separate (# 38 and #41) extra supernatant was retrieved with pipet. </t>
  </si>
  <si>
    <r>
      <t xml:space="preserve">Prior to sample preparation centrifuge tubes were put in an oven at 103°C for +/- 2h to remove coating layer. To measure dispersibility and water binding capacity, a sample was dispersed in demineralized water to a total weight of 30g and a dry matter content of 4% w/w. The exact amount of sample is calculated based on its moisture content. The dispersion was </t>
    </r>
    <r>
      <rPr>
        <sz val="11"/>
        <color rgb="FFFF0000"/>
        <rFont val="Calibri"/>
        <family val="2"/>
        <scheme val="minor"/>
      </rPr>
      <t>tapped and shaked to release the powder from the sides into the dispersion</t>
    </r>
    <r>
      <rPr>
        <sz val="11"/>
        <color theme="1"/>
        <rFont val="Calibri"/>
        <family val="2"/>
        <scheme val="minor"/>
      </rPr>
      <t>, put on the rollerbank for 30 min at room temperature,</t>
    </r>
    <r>
      <rPr>
        <sz val="11"/>
        <color rgb="FFFF0000"/>
        <rFont val="Calibri"/>
        <family val="2"/>
        <scheme val="minor"/>
      </rPr>
      <t xml:space="preserve"> after 15 min one more time shaking</t>
    </r>
    <r>
      <rPr>
        <sz val="11"/>
        <color theme="1"/>
        <rFont val="Calibri"/>
        <family val="2"/>
        <scheme val="minor"/>
      </rPr>
      <t>. pH was measured and noted down and centrifuge tubes were centrifuged (4000 g for 45 min). The weights of tubes and dispersion were recorded. After centrifugation, the supernatant and pellet were separated by decanting the supernatant in a aluminium container and putting the tube upside down to remove more moisture from the pellet, last remaining liquid was removed by pipet. Supernatant and pellet were weighed, dried in an oven at 103°C for a minimum of 24 hours and weighed again to determine the amount of dry matter in the supernatant and pellet. These measurements were performed in triplicate.</t>
    </r>
  </si>
  <si>
    <t>50h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</si>
</sst>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00"/>
    <numFmt numFmtId="167" formatCode="[$-F400]h:mm:ss\ AM/PM"/>
  </numFmts>
  <fonts count="13" x14ac:knownFonts="1">
    <font>
      <sz val="11"/>
      <color theme="1"/>
      <name val="Calibri"/>
      <family val="2"/>
      <scheme val="minor"/>
    </font>
    <font>
      <sz val="11"/>
      <color theme="8"/>
      <name val="Calibri"/>
      <family val="2"/>
      <scheme val="minor"/>
    </font>
    <font>
      <sz val="11"/>
      <color theme="1"/>
      <name val="Calibri"/>
      <family val="2"/>
      <scheme val="minor"/>
    </font>
    <font>
      <sz val="11"/>
      <color theme="4" tint="-0.249977111117893"/>
      <name val="Calibri"/>
      <family val="2"/>
      <scheme val="minor"/>
    </font>
    <font>
      <sz val="8.5"/>
      <color theme="1"/>
      <name val="Verdana"/>
      <family val="2"/>
    </font>
    <font>
      <sz val="11"/>
      <color rgb="FFFF0000"/>
      <name val="Calibri"/>
      <family val="2"/>
      <scheme val="minor"/>
    </font>
    <font>
      <b/>
      <sz val="11"/>
      <color theme="1"/>
      <name val="Calibri"/>
      <family val="2"/>
      <scheme val="minor"/>
    </font>
    <font>
      <sz val="14"/>
      <color rgb="FF2F5496"/>
      <name val="Calibri Light"/>
      <family val="2"/>
    </font>
    <font>
      <sz val="14"/>
      <color theme="8"/>
      <name val="Calibri Light"/>
      <family val="2"/>
      <scheme val="major"/>
    </font>
    <font>
      <i/>
      <sz val="11"/>
      <color theme="1"/>
      <name val="Calibri"/>
      <family val="2"/>
      <scheme val="minor"/>
    </font>
    <font>
      <sz val="11"/>
      <color rgb="FF000000"/>
      <name val="Calibri"/>
      <family val="2"/>
      <scheme val="minor"/>
    </font>
    <font>
      <sz val="9"/>
      <color indexed="81"/>
      <name val="Tahoma"/>
      <charset val="1"/>
    </font>
    <font>
      <b/>
      <sz val="9"/>
      <color indexed="81"/>
      <name val="Tahoma"/>
      <charset val="1"/>
    </font>
  </fonts>
  <fills count="3">
    <fill>
      <patternFill patternType="none"/>
    </fill>
    <fill>
      <patternFill patternType="gray125"/>
    </fill>
    <fill>
      <patternFill patternType="solid">
        <fgColor theme="9" tint="0.79998168889431442"/>
        <bgColor indexed="64"/>
      </patternFill>
    </fill>
  </fills>
  <borders count="1">
    <border>
      <left/>
      <right/>
      <top/>
      <bottom/>
      <diagonal/>
    </border>
  </borders>
  <cellStyleXfs count="2">
    <xf numFmtId="0" fontId="0" fillId="0" borderId="0"/>
    <xf numFmtId="9" fontId="2" fillId="0" borderId="0" applyFont="0" applyFill="0" applyBorder="0" applyAlignment="0" applyProtection="0"/>
  </cellStyleXfs>
  <cellXfs count="44">
    <xf numFmtId="0" fontId="0" fillId="0" borderId="0" xfId="0"/>
    <xf numFmtId="0" fontId="0" fillId="0" borderId="0" xfId="0" applyAlignment="1">
      <alignment horizontal="center" vertical="top" wrapText="1"/>
    </xf>
    <xf numFmtId="0" fontId="1" fillId="0" borderId="0" xfId="0" applyFont="1" applyAlignment="1">
      <alignment horizontal="center" vertical="top" wrapText="1"/>
    </xf>
    <xf numFmtId="0" fontId="1" fillId="0" borderId="0" xfId="0" applyFont="1"/>
    <xf numFmtId="2" fontId="0" fillId="0" borderId="0" xfId="0" applyNumberFormat="1"/>
    <xf numFmtId="10" fontId="1" fillId="0" borderId="0" xfId="1" applyNumberFormat="1" applyFont="1"/>
    <xf numFmtId="2" fontId="1" fillId="0" borderId="0" xfId="0" applyNumberFormat="1" applyFont="1" applyAlignment="1">
      <alignment horizontal="center" vertical="top" wrapText="1"/>
    </xf>
    <xf numFmtId="2" fontId="1" fillId="0" borderId="0" xfId="1" applyNumberFormat="1" applyFont="1"/>
    <xf numFmtId="2" fontId="1" fillId="0" borderId="0" xfId="0" applyNumberFormat="1" applyFont="1"/>
    <xf numFmtId="164" fontId="1" fillId="0" borderId="0" xfId="1" applyNumberFormat="1" applyFont="1" applyAlignment="1">
      <alignment horizontal="center" vertical="top" wrapText="1"/>
    </xf>
    <xf numFmtId="164" fontId="1" fillId="0" borderId="0" xfId="1" applyNumberFormat="1" applyFont="1"/>
    <xf numFmtId="165" fontId="1" fillId="0" borderId="0" xfId="1" applyNumberFormat="1" applyFont="1" applyAlignment="1">
      <alignment horizontal="center" vertical="top" wrapText="1"/>
    </xf>
    <xf numFmtId="165" fontId="1" fillId="0" borderId="0" xfId="1" applyNumberFormat="1" applyFont="1"/>
    <xf numFmtId="165" fontId="0" fillId="0" borderId="0" xfId="0" applyNumberFormat="1"/>
    <xf numFmtId="10" fontId="0" fillId="0" borderId="0" xfId="0" applyNumberFormat="1"/>
    <xf numFmtId="165" fontId="0" fillId="0" borderId="0" xfId="1" applyNumberFormat="1" applyFont="1"/>
    <xf numFmtId="0" fontId="4" fillId="0" borderId="0" xfId="0" applyFont="1" applyAlignment="1">
      <alignment vertical="top"/>
    </xf>
    <xf numFmtId="2" fontId="0" fillId="0" borderId="0" xfId="0" applyNumberFormat="1" applyAlignment="1">
      <alignment horizontal="center" vertical="top" wrapText="1"/>
    </xf>
    <xf numFmtId="2" fontId="3" fillId="0" borderId="0" xfId="0" applyNumberFormat="1" applyFont="1" applyAlignment="1">
      <alignment horizontal="center" vertical="top" wrapText="1"/>
    </xf>
    <xf numFmtId="2" fontId="3" fillId="0" borderId="0" xfId="0" applyNumberFormat="1" applyFont="1"/>
    <xf numFmtId="2" fontId="1" fillId="0" borderId="0" xfId="0" applyNumberFormat="1" applyFont="1" applyAlignment="1">
      <alignment vertical="center" wrapText="1"/>
    </xf>
    <xf numFmtId="166" fontId="1" fillId="0" borderId="0" xfId="0" applyNumberFormat="1" applyFont="1"/>
    <xf numFmtId="167" fontId="0" fillId="0" borderId="0" xfId="0" applyNumberFormat="1"/>
    <xf numFmtId="14" fontId="0" fillId="0" borderId="0" xfId="0" applyNumberFormat="1"/>
    <xf numFmtId="20" fontId="0" fillId="0" borderId="0" xfId="0" applyNumberFormat="1"/>
    <xf numFmtId="2" fontId="5" fillId="0" borderId="0" xfId="0" applyNumberFormat="1" applyFont="1" applyAlignment="1">
      <alignment horizontal="center" vertical="top" wrapText="1"/>
    </xf>
    <xf numFmtId="0" fontId="0" fillId="0" borderId="0" xfId="0" applyFont="1" applyAlignment="1">
      <alignment horizontal="justify" vertical="top"/>
    </xf>
    <xf numFmtId="0" fontId="6" fillId="0" borderId="0" xfId="0" applyFont="1" applyAlignment="1">
      <alignment horizontal="justify" vertical="top"/>
    </xf>
    <xf numFmtId="0" fontId="0" fillId="0" borderId="0" xfId="0" applyFont="1"/>
    <xf numFmtId="0" fontId="7" fillId="0" borderId="0" xfId="0" applyFont="1" applyAlignment="1">
      <alignment vertical="top"/>
    </xf>
    <xf numFmtId="0" fontId="8" fillId="0" borderId="0" xfId="0" applyFont="1"/>
    <xf numFmtId="0" fontId="9" fillId="0" borderId="0" xfId="0" applyFont="1"/>
    <xf numFmtId="0" fontId="0" fillId="0" borderId="0" xfId="0" applyFill="1"/>
    <xf numFmtId="0" fontId="0" fillId="0" borderId="0" xfId="0" applyBorder="1"/>
    <xf numFmtId="0" fontId="10" fillId="0" borderId="0" xfId="0" applyFont="1" applyBorder="1" applyAlignment="1">
      <alignment vertical="center"/>
    </xf>
    <xf numFmtId="0" fontId="0" fillId="0" borderId="0" xfId="0" applyBorder="1" applyAlignment="1">
      <alignment vertical="center"/>
    </xf>
    <xf numFmtId="0" fontId="1" fillId="0" borderId="0" xfId="0" applyFont="1" applyBorder="1" applyAlignment="1">
      <alignment vertical="center"/>
    </xf>
    <xf numFmtId="0" fontId="1" fillId="0" borderId="0" xfId="0" applyFont="1" applyAlignment="1">
      <alignment horizontal="left" vertical="center" indent="1"/>
    </xf>
    <xf numFmtId="0" fontId="0" fillId="0" borderId="0" xfId="0" applyAlignment="1" applyProtection="1">
      <alignment horizontal="center" vertical="top" wrapText="1"/>
    </xf>
    <xf numFmtId="0" fontId="0" fillId="0" borderId="0" xfId="0" applyProtection="1"/>
    <xf numFmtId="0" fontId="0" fillId="0" borderId="0" xfId="0" applyAlignment="1">
      <alignment horizontal="right"/>
    </xf>
    <xf numFmtId="166" fontId="1" fillId="2" borderId="0" xfId="0" applyNumberFormat="1" applyFont="1" applyFill="1"/>
    <xf numFmtId="2" fontId="9" fillId="0" borderId="0" xfId="0" applyNumberFormat="1" applyFont="1" applyAlignment="1">
      <alignment horizontal="center" vertical="top" wrapText="1"/>
    </xf>
    <xf numFmtId="0" fontId="9" fillId="0" borderId="0" xfId="0" applyFont="1" applyAlignment="1">
      <alignment horizontal="center" vertical="top" wrapText="1"/>
    </xf>
  </cellXfs>
  <cellStyles count="2">
    <cellStyle name="Normal" xfId="0" builtinId="0"/>
    <cellStyle name="Percent" xfId="1" builtinId="5"/>
  </cellStyles>
  <dxfs count="39">
    <dxf>
      <font>
        <strike val="0"/>
        <outline val="0"/>
        <shadow val="0"/>
        <u val="none"/>
        <vertAlign val="baseline"/>
        <sz val="11"/>
        <color theme="8"/>
        <name val="Calibri"/>
        <scheme val="minor"/>
      </font>
      <numFmt numFmtId="0" formatCode="General"/>
    </dxf>
    <dxf>
      <font>
        <strike val="0"/>
        <outline val="0"/>
        <shadow val="0"/>
        <u val="none"/>
        <vertAlign val="baseline"/>
        <sz val="11"/>
        <color theme="8"/>
        <name val="Calibri"/>
        <scheme val="minor"/>
      </font>
      <numFmt numFmtId="0" formatCode="General"/>
    </dxf>
    <dxf>
      <font>
        <b val="0"/>
        <i val="0"/>
        <strike val="0"/>
        <condense val="0"/>
        <extend val="0"/>
        <outline val="0"/>
        <shadow val="0"/>
        <u val="none"/>
        <vertAlign val="baseline"/>
        <sz val="11"/>
        <color theme="8"/>
        <name val="Calibri"/>
        <family val="2"/>
        <scheme val="minor"/>
      </font>
      <numFmt numFmtId="2" formatCode="0.00"/>
    </dxf>
    <dxf>
      <font>
        <b val="0"/>
        <i val="0"/>
        <strike val="0"/>
        <condense val="0"/>
        <extend val="0"/>
        <outline val="0"/>
        <shadow val="0"/>
        <u val="none"/>
        <vertAlign val="baseline"/>
        <sz val="11"/>
        <color theme="8"/>
        <name val="Calibri"/>
        <scheme val="minor"/>
      </font>
      <numFmt numFmtId="2" formatCode="0.00"/>
    </dxf>
    <dxf>
      <font>
        <b val="0"/>
        <i val="0"/>
        <strike val="0"/>
        <condense val="0"/>
        <extend val="0"/>
        <outline val="0"/>
        <shadow val="0"/>
        <u val="none"/>
        <vertAlign val="baseline"/>
        <sz val="11"/>
        <color theme="8"/>
        <name val="Calibri"/>
        <scheme val="minor"/>
      </font>
      <numFmt numFmtId="165" formatCode="0.0%"/>
    </dxf>
    <dxf>
      <font>
        <b val="0"/>
        <i val="0"/>
        <strike val="0"/>
        <condense val="0"/>
        <extend val="0"/>
        <outline val="0"/>
        <shadow val="0"/>
        <u val="none"/>
        <vertAlign val="baseline"/>
        <sz val="11"/>
        <color theme="8"/>
        <name val="Calibri"/>
        <scheme val="minor"/>
      </font>
      <numFmt numFmtId="164" formatCode="0.0000"/>
    </dxf>
    <dxf>
      <font>
        <strike val="0"/>
        <outline val="0"/>
        <shadow val="0"/>
        <u val="none"/>
        <vertAlign val="baseline"/>
        <sz val="11"/>
        <color theme="8"/>
        <name val="Calibri"/>
        <scheme val="minor"/>
      </font>
      <numFmt numFmtId="14" formatCode="0.00%"/>
    </dxf>
    <dxf>
      <font>
        <strike val="0"/>
        <outline val="0"/>
        <shadow val="0"/>
        <u val="none"/>
        <vertAlign val="baseline"/>
        <sz val="11"/>
        <color theme="8"/>
        <name val="Calibri"/>
        <scheme val="minor"/>
      </font>
      <numFmt numFmtId="14" formatCode="0.00%"/>
    </dxf>
    <dxf>
      <font>
        <b val="0"/>
        <i val="0"/>
        <strike val="0"/>
        <condense val="0"/>
        <extend val="0"/>
        <outline val="0"/>
        <shadow val="0"/>
        <u val="none"/>
        <vertAlign val="baseline"/>
        <sz val="11"/>
        <color theme="8"/>
        <name val="Calibri"/>
        <scheme val="minor"/>
      </font>
      <numFmt numFmtId="2" formatCode="0.00"/>
    </dxf>
    <dxf>
      <font>
        <strike val="0"/>
        <outline val="0"/>
        <shadow val="0"/>
        <u val="none"/>
        <vertAlign val="baseline"/>
        <sz val="11"/>
        <color theme="8"/>
        <name val="Calibri"/>
        <scheme val="minor"/>
      </font>
      <numFmt numFmtId="166" formatCode="0.000"/>
    </dxf>
    <dxf>
      <font>
        <strike val="0"/>
        <outline val="0"/>
        <shadow val="0"/>
        <u val="none"/>
        <vertAlign val="baseline"/>
        <sz val="11"/>
        <color theme="8"/>
        <name val="Calibri"/>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2" formatCode="0.00"/>
    </dxf>
    <dxf>
      <font>
        <strike val="0"/>
        <outline val="0"/>
        <shadow val="0"/>
        <u val="none"/>
        <vertAlign val="baseline"/>
        <sz val="11"/>
        <color theme="8"/>
        <name val="Calibri"/>
        <family val="2"/>
        <scheme val="minor"/>
      </font>
      <numFmt numFmtId="2" formatCode="0.00"/>
    </dxf>
    <dxf>
      <font>
        <strike val="0"/>
        <outline val="0"/>
        <shadow val="0"/>
        <u val="none"/>
        <vertAlign val="baseline"/>
        <sz val="11"/>
        <color theme="8"/>
        <name val="Calibri"/>
        <family val="2"/>
        <scheme val="minor"/>
      </font>
      <numFmt numFmtId="2" formatCode="0.00"/>
    </dxf>
    <dxf>
      <font>
        <strike val="0"/>
        <outline val="0"/>
        <shadow val="0"/>
        <u val="none"/>
        <vertAlign val="baseline"/>
        <sz val="11"/>
        <color theme="8"/>
        <name val="Calibri"/>
        <family val="2"/>
        <scheme val="minor"/>
      </font>
      <numFmt numFmtId="2" formatCode="0.00"/>
    </dxf>
    <dxf>
      <font>
        <b val="0"/>
        <i val="0"/>
        <strike val="0"/>
        <condense val="0"/>
        <extend val="0"/>
        <outline val="0"/>
        <shadow val="0"/>
        <u val="none"/>
        <vertAlign val="baseline"/>
        <sz val="11"/>
        <color theme="8"/>
        <name val="Calibri"/>
        <family val="2"/>
        <scheme val="minor"/>
      </font>
      <numFmt numFmtId="166" formatCode="0.000"/>
    </dxf>
    <dxf>
      <font>
        <strike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dxf>
    <dxf>
      <font>
        <b val="0"/>
        <i val="0"/>
        <strike val="0"/>
        <condense val="0"/>
        <extend val="0"/>
        <outline val="0"/>
        <shadow val="0"/>
        <u val="none"/>
        <vertAlign val="baseline"/>
        <sz val="11"/>
        <color theme="8"/>
        <name val="Calibri"/>
        <family val="2"/>
        <scheme val="minor"/>
      </font>
      <numFmt numFmtId="166" formatCode="0.000"/>
      <alignment horizontal="general" vertical="center" textRotation="0" wrapText="1" indent="0" justifyLastLine="0" shrinkToFit="0" readingOrder="0"/>
    </dxf>
    <dxf>
      <font>
        <b val="0"/>
        <i val="0"/>
        <strike val="0"/>
        <condense val="0"/>
        <extend val="0"/>
        <outline val="0"/>
        <shadow val="0"/>
        <u val="none"/>
        <vertAlign val="baseline"/>
        <sz val="11"/>
        <color theme="8"/>
        <name val="Calibri"/>
        <family val="2"/>
        <scheme val="minor"/>
      </font>
      <numFmt numFmtId="2" formatCode="0.00"/>
      <alignment horizontal="general" vertical="center" textRotation="0" wrapText="1" indent="0" justifyLastLine="0" shrinkToFit="0" readingOrder="0"/>
    </dxf>
    <dxf>
      <font>
        <b val="0"/>
        <i val="0"/>
        <strike val="0"/>
        <condense val="0"/>
        <extend val="0"/>
        <outline val="0"/>
        <shadow val="0"/>
        <u val="none"/>
        <vertAlign val="baseline"/>
        <sz val="11"/>
        <color theme="8"/>
        <name val="Calibri"/>
        <family val="2"/>
        <scheme val="minor"/>
      </font>
      <alignment horizontal="general" vertical="center" textRotation="0" wrapText="0" indent="0" justifyLastLine="0" shrinkToFit="0" readingOrder="0"/>
    </dxf>
    <dxf>
      <alignment horizontal="center" vertical="top" textRotation="0" wrapText="1" indent="0" justifyLastLine="0" shrinkToFit="0" readingOrder="0"/>
    </dxf>
  </dxfs>
  <tableStyles count="0" defaultTableStyle="TableStyleMedium2" defaultPivotStyle="PivotStyleLight16"/>
  <colors>
    <mruColors>
      <color rgb="FF3F9C35"/>
      <color rgb="FFBF5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Dispersibility</a:t>
            </a:r>
          </a:p>
        </c:rich>
      </c:tx>
      <c:overlay val="0"/>
      <c:spPr>
        <a:noFill/>
        <a:ln>
          <a:noFill/>
        </a:ln>
        <a:effectLst/>
      </c:spPr>
      <c:txPr>
        <a:bodyPr rot="0" spcFirstLastPara="1" vertOverflow="ellipsis" vert="horz" wrap="square" anchor="ctr" anchorCtr="1"/>
        <a:lstStyle/>
        <a:p>
          <a:pPr>
            <a:defRPr sz="132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E009-4E6B-A3DE-C790B52AAC08}"/>
              </c:ext>
            </c:extLst>
          </c:dPt>
          <c:dPt>
            <c:idx val="1"/>
            <c:invertIfNegative val="0"/>
            <c:bubble3D val="0"/>
            <c:spPr>
              <a:solidFill>
                <a:srgbClr val="FFC000"/>
              </a:solidFill>
              <a:ln>
                <a:noFill/>
              </a:ln>
              <a:effectLst/>
            </c:spPr>
            <c:extLst>
              <c:ext xmlns:c16="http://schemas.microsoft.com/office/drawing/2014/chart" uri="{C3380CC4-5D6E-409C-BE32-E72D297353CC}">
                <c16:uniqueId val="{00000003-E009-4E6B-A3DE-C790B52AAC08}"/>
              </c:ext>
            </c:extLst>
          </c:dPt>
          <c:dPt>
            <c:idx val="2"/>
            <c:invertIfNegative val="0"/>
            <c:bubble3D val="0"/>
            <c:spPr>
              <a:solidFill>
                <a:srgbClr val="7030A0"/>
              </a:solidFill>
              <a:ln>
                <a:noFill/>
              </a:ln>
              <a:effectLst/>
            </c:spPr>
            <c:extLst>
              <c:ext xmlns:c16="http://schemas.microsoft.com/office/drawing/2014/chart" uri="{C3380CC4-5D6E-409C-BE32-E72D297353CC}">
                <c16:uniqueId val="{00000005-E009-4E6B-A3DE-C790B52AAC08}"/>
              </c:ext>
            </c:extLst>
          </c:dPt>
          <c:dPt>
            <c:idx val="3"/>
            <c:invertIfNegative val="0"/>
            <c:bubble3D val="0"/>
            <c:spPr>
              <a:solidFill>
                <a:srgbClr val="00B050"/>
              </a:solidFill>
              <a:ln>
                <a:noFill/>
              </a:ln>
              <a:effectLst/>
            </c:spPr>
            <c:extLst>
              <c:ext xmlns:c16="http://schemas.microsoft.com/office/drawing/2014/chart" uri="{C3380CC4-5D6E-409C-BE32-E72D297353CC}">
                <c16:uniqueId val="{00000007-E009-4E6B-A3DE-C790B52AAC08}"/>
              </c:ext>
            </c:extLst>
          </c:dPt>
          <c:errBars>
            <c:errBarType val="both"/>
            <c:errValType val="cust"/>
            <c:noEndCap val="0"/>
            <c:plus>
              <c:numRef>
                <c:f>('[1]data fava'!$AQ$3,'[1]data fava'!$AQ$6,'[1]data fava'!$AQ$9,'[1]data fava'!$AQ$12)</c:f>
                <c:numCache>
                  <c:formatCode>General</c:formatCode>
                  <c:ptCount val="4"/>
                  <c:pt idx="0">
                    <c:v>3.3373228572580759E-3</c:v>
                  </c:pt>
                  <c:pt idx="1">
                    <c:v>4.5359944023394376E-3</c:v>
                  </c:pt>
                  <c:pt idx="2">
                    <c:v>3.5624191476133879E-3</c:v>
                  </c:pt>
                  <c:pt idx="3">
                    <c:v>6.1015831508536168E-3</c:v>
                  </c:pt>
                </c:numCache>
              </c:numRef>
            </c:plus>
            <c:minus>
              <c:numRef>
                <c:f>('[1]data fava'!$AQ$3,'[1]data fava'!$AQ$6,'[1]data fava'!$AQ$9,'[1]data fava'!$AQ$12)</c:f>
                <c:numCache>
                  <c:formatCode>General</c:formatCode>
                  <c:ptCount val="4"/>
                  <c:pt idx="0">
                    <c:v>3.3373228572580759E-3</c:v>
                  </c:pt>
                  <c:pt idx="1">
                    <c:v>4.5359944023394376E-3</c:v>
                  </c:pt>
                  <c:pt idx="2">
                    <c:v>3.5624191476133879E-3</c:v>
                  </c:pt>
                  <c:pt idx="3">
                    <c:v>6.1015831508536168E-3</c:v>
                  </c:pt>
                </c:numCache>
              </c:numRef>
            </c:minus>
            <c:spPr>
              <a:noFill/>
              <a:ln w="9525" cap="flat" cmpd="sng" algn="ctr">
                <a:solidFill>
                  <a:schemeClr val="tx1">
                    <a:lumMod val="65000"/>
                    <a:lumOff val="35000"/>
                  </a:schemeClr>
                </a:solidFill>
                <a:round/>
              </a:ln>
              <a:effectLst/>
            </c:spPr>
          </c:errBars>
          <c:cat>
            <c:strRef>
              <c:f>('[1]data fava'!$AO$3,'[1]data fava'!$AO$6,'[1]data fava'!$AO$9,'[1]data fava'!$AO$12)</c:f>
              <c:strCache>
                <c:ptCount val="4"/>
                <c:pt idx="0">
                  <c:v>HFB - faba bean - 0 min</c:v>
                </c:pt>
                <c:pt idx="1">
                  <c:v>HFB - faba bean - 30 min - Duran 100°C</c:v>
                </c:pt>
                <c:pt idx="2">
                  <c:v>HFB - faba bean - 60 min - Duran 100°C</c:v>
                </c:pt>
                <c:pt idx="3">
                  <c:v>HFB - faba bean - 120 min - Duran 100°C</c:v>
                </c:pt>
              </c:strCache>
            </c:strRef>
          </c:cat>
          <c:val>
            <c:numRef>
              <c:f>('[1]data fava'!$AP$3,'[1]data fava'!$AP$6,'[1]data fava'!$AP$9,'[1]data fava'!$AP$12)</c:f>
              <c:numCache>
                <c:formatCode>General</c:formatCode>
                <c:ptCount val="4"/>
                <c:pt idx="0">
                  <c:v>0.51791944383053978</c:v>
                </c:pt>
                <c:pt idx="1">
                  <c:v>0.50211216520786517</c:v>
                </c:pt>
                <c:pt idx="2">
                  <c:v>0.49581511945553297</c:v>
                </c:pt>
                <c:pt idx="3">
                  <c:v>0.47280628176840528</c:v>
                </c:pt>
              </c:numCache>
            </c:numRef>
          </c:val>
          <c:extLst>
            <c:ext xmlns:c16="http://schemas.microsoft.com/office/drawing/2014/chart" uri="{C3380CC4-5D6E-409C-BE32-E72D297353CC}">
              <c16:uniqueId val="{00000008-E009-4E6B-A3DE-C790B52AAC08}"/>
            </c:ext>
          </c:extLst>
        </c:ser>
        <c:dLbls>
          <c:showLegendKey val="0"/>
          <c:showVal val="0"/>
          <c:showCatName val="0"/>
          <c:showSerName val="0"/>
          <c:showPercent val="0"/>
          <c:showBubbleSize val="0"/>
        </c:dLbls>
        <c:gapWidth val="219"/>
        <c:overlap val="-27"/>
        <c:axId val="497455824"/>
        <c:axId val="497455168"/>
      </c:barChart>
      <c:catAx>
        <c:axId val="497455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97455168"/>
        <c:crosses val="autoZero"/>
        <c:auto val="1"/>
        <c:lblAlgn val="ctr"/>
        <c:lblOffset val="100"/>
        <c:noMultiLvlLbl val="0"/>
      </c:catAx>
      <c:valAx>
        <c:axId val="4974551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 Dispersibility (DM)</a:t>
                </a:r>
              </a:p>
            </c:rich>
          </c:tx>
          <c:layout>
            <c:manualLayout>
              <c:xMode val="edge"/>
              <c:yMode val="edge"/>
              <c:x val="1.4134275618374558E-2"/>
              <c:y val="0.28439814814814812"/>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97455824"/>
        <c:crosses val="autoZero"/>
        <c:crossBetween val="between"/>
      </c:valAx>
      <c:spPr>
        <a:noFill/>
        <a:ln>
          <a:solidFill>
            <a:schemeClr val="accent3"/>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32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WBC of the insoluble</a:t>
            </a:r>
            <a:r>
              <a:rPr lang="en-US" baseline="0"/>
              <a:t> pellet</a:t>
            </a:r>
            <a:endParaRPr lang="en-US"/>
          </a:p>
        </c:rich>
      </c:tx>
      <c:overlay val="0"/>
      <c:spPr>
        <a:noFill/>
        <a:ln>
          <a:noFill/>
        </a:ln>
        <a:effectLst/>
      </c:spPr>
      <c:txPr>
        <a:bodyPr rot="0" spcFirstLastPara="1" vertOverflow="ellipsis" vert="horz" wrap="square" anchor="ctr" anchorCtr="1"/>
        <a:lstStyle/>
        <a:p>
          <a:pPr>
            <a:defRPr sz="132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rgbClr val="ED7D31"/>
            </a:solidFill>
            <a:ln>
              <a:noFill/>
            </a:ln>
            <a:effectLst/>
          </c:spPr>
          <c:invertIfNegative val="0"/>
          <c:dPt>
            <c:idx val="0"/>
            <c:invertIfNegative val="0"/>
            <c:bubble3D val="0"/>
            <c:spPr>
              <a:solidFill>
                <a:srgbClr val="5B9BD5"/>
              </a:solidFill>
              <a:ln>
                <a:noFill/>
              </a:ln>
              <a:effectLst/>
            </c:spPr>
            <c:extLst>
              <c:ext xmlns:c16="http://schemas.microsoft.com/office/drawing/2014/chart" uri="{C3380CC4-5D6E-409C-BE32-E72D297353CC}">
                <c16:uniqueId val="{00000001-2743-4082-8B78-66E562A1AA54}"/>
              </c:ext>
            </c:extLst>
          </c:dPt>
          <c:dPt>
            <c:idx val="1"/>
            <c:invertIfNegative val="0"/>
            <c:bubble3D val="0"/>
            <c:spPr>
              <a:solidFill>
                <a:srgbClr val="FFC000"/>
              </a:solidFill>
              <a:ln>
                <a:noFill/>
              </a:ln>
              <a:effectLst/>
            </c:spPr>
            <c:extLst>
              <c:ext xmlns:c16="http://schemas.microsoft.com/office/drawing/2014/chart" uri="{C3380CC4-5D6E-409C-BE32-E72D297353CC}">
                <c16:uniqueId val="{00000003-2743-4082-8B78-66E562A1AA54}"/>
              </c:ext>
            </c:extLst>
          </c:dPt>
          <c:dPt>
            <c:idx val="2"/>
            <c:invertIfNegative val="0"/>
            <c:bubble3D val="0"/>
            <c:spPr>
              <a:solidFill>
                <a:srgbClr val="7030A0"/>
              </a:solidFill>
              <a:ln>
                <a:noFill/>
              </a:ln>
              <a:effectLst/>
            </c:spPr>
            <c:extLst>
              <c:ext xmlns:c16="http://schemas.microsoft.com/office/drawing/2014/chart" uri="{C3380CC4-5D6E-409C-BE32-E72D297353CC}">
                <c16:uniqueId val="{00000005-2743-4082-8B78-66E562A1AA54}"/>
              </c:ext>
            </c:extLst>
          </c:dPt>
          <c:dPt>
            <c:idx val="3"/>
            <c:invertIfNegative val="0"/>
            <c:bubble3D val="0"/>
            <c:spPr>
              <a:solidFill>
                <a:srgbClr val="00B050"/>
              </a:solidFill>
              <a:ln>
                <a:noFill/>
              </a:ln>
              <a:effectLst/>
            </c:spPr>
            <c:extLst>
              <c:ext xmlns:c16="http://schemas.microsoft.com/office/drawing/2014/chart" uri="{C3380CC4-5D6E-409C-BE32-E72D297353CC}">
                <c16:uniqueId val="{00000007-2743-4082-8B78-66E562A1AA54}"/>
              </c:ext>
            </c:extLst>
          </c:dPt>
          <c:errBars>
            <c:errBarType val="both"/>
            <c:errValType val="cust"/>
            <c:noEndCap val="0"/>
            <c:plus>
              <c:numRef>
                <c:f>('[1]data fava'!$AS$3,'[1]data fava'!$AS$6,'[1]data fava'!$AS$9,'[1]data fava'!$AS$12)</c:f>
                <c:numCache>
                  <c:formatCode>General</c:formatCode>
                  <c:ptCount val="4"/>
                  <c:pt idx="0">
                    <c:v>3.6299697514322576E-2</c:v>
                  </c:pt>
                  <c:pt idx="1">
                    <c:v>3.7829236556048647E-2</c:v>
                  </c:pt>
                  <c:pt idx="2">
                    <c:v>4.7311707637150036E-2</c:v>
                  </c:pt>
                  <c:pt idx="3">
                    <c:v>3.2033875011709095E-2</c:v>
                  </c:pt>
                </c:numCache>
              </c:numRef>
            </c:plus>
            <c:minus>
              <c:numRef>
                <c:f>('[1]data fava'!$AS$3,'[1]data fava'!$AS$6,'[1]data fava'!$AS$9,'[1]data fava'!$AS$12)</c:f>
                <c:numCache>
                  <c:formatCode>General</c:formatCode>
                  <c:ptCount val="4"/>
                  <c:pt idx="0">
                    <c:v>3.6299697514322576E-2</c:v>
                  </c:pt>
                  <c:pt idx="1">
                    <c:v>3.7829236556048647E-2</c:v>
                  </c:pt>
                  <c:pt idx="2">
                    <c:v>4.7311707637150036E-2</c:v>
                  </c:pt>
                  <c:pt idx="3">
                    <c:v>3.2033875011709095E-2</c:v>
                  </c:pt>
                </c:numCache>
              </c:numRef>
            </c:minus>
            <c:spPr>
              <a:noFill/>
              <a:ln w="9525" cap="flat" cmpd="sng" algn="ctr">
                <a:solidFill>
                  <a:schemeClr val="tx1">
                    <a:lumMod val="65000"/>
                    <a:lumOff val="35000"/>
                  </a:schemeClr>
                </a:solidFill>
                <a:round/>
              </a:ln>
              <a:effectLst/>
            </c:spPr>
          </c:errBars>
          <c:cat>
            <c:strRef>
              <c:f>('[1]data fava'!$AO$3,'[1]data fava'!$AO$6,'[1]data fava'!$AO$9,'[1]data fava'!$AO$12)</c:f>
              <c:strCache>
                <c:ptCount val="4"/>
                <c:pt idx="0">
                  <c:v>HFB - faba bean - 0 min</c:v>
                </c:pt>
                <c:pt idx="1">
                  <c:v>HFB - faba bean - 30 min - Duran 100°C</c:v>
                </c:pt>
                <c:pt idx="2">
                  <c:v>HFB - faba bean - 60 min - Duran 100°C</c:v>
                </c:pt>
                <c:pt idx="3">
                  <c:v>HFB - faba bean - 120 min - Duran 100°C</c:v>
                </c:pt>
              </c:strCache>
            </c:strRef>
          </c:cat>
          <c:val>
            <c:numRef>
              <c:f>('[1]data fava'!$AR$3,'[1]data fava'!$AR$6,'[1]data fava'!$AR$9,'[1]data fava'!$AR$12)</c:f>
              <c:numCache>
                <c:formatCode>General</c:formatCode>
                <c:ptCount val="4"/>
                <c:pt idx="0">
                  <c:v>3.2899031690210427</c:v>
                </c:pt>
                <c:pt idx="1">
                  <c:v>3.1653406933765424</c:v>
                </c:pt>
                <c:pt idx="2">
                  <c:v>3.0546180630394613</c:v>
                </c:pt>
                <c:pt idx="3">
                  <c:v>2.76560005814112</c:v>
                </c:pt>
              </c:numCache>
            </c:numRef>
          </c:val>
          <c:extLst>
            <c:ext xmlns:c16="http://schemas.microsoft.com/office/drawing/2014/chart" uri="{C3380CC4-5D6E-409C-BE32-E72D297353CC}">
              <c16:uniqueId val="{00000008-2743-4082-8B78-66E562A1AA54}"/>
            </c:ext>
          </c:extLst>
        </c:ser>
        <c:dLbls>
          <c:showLegendKey val="0"/>
          <c:showVal val="0"/>
          <c:showCatName val="0"/>
          <c:showSerName val="0"/>
          <c:showPercent val="0"/>
          <c:showBubbleSize val="0"/>
        </c:dLbls>
        <c:gapWidth val="219"/>
        <c:overlap val="-27"/>
        <c:axId val="497455824"/>
        <c:axId val="497455168"/>
      </c:barChart>
      <c:catAx>
        <c:axId val="497455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97455168"/>
        <c:crosses val="autoZero"/>
        <c:auto val="1"/>
        <c:lblAlgn val="ctr"/>
        <c:lblOffset val="100"/>
        <c:noMultiLvlLbl val="0"/>
      </c:catAx>
      <c:valAx>
        <c:axId val="497455168"/>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WBC (g</a:t>
                </a:r>
                <a:r>
                  <a:rPr lang="en-US" baseline="0"/>
                  <a:t> water/g powder)</a:t>
                </a:r>
                <a:endParaRPr lang="en-US"/>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97455824"/>
        <c:crosses val="autoZero"/>
        <c:crossBetween val="between"/>
        <c:majorUnit val="2"/>
      </c:valAx>
      <c:spPr>
        <a:noFill/>
        <a:ln>
          <a:solidFill>
            <a:schemeClr val="accent3"/>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51</xdr:col>
      <xdr:colOff>0</xdr:colOff>
      <xdr:row>1</xdr:row>
      <xdr:rowOff>0</xdr:rowOff>
    </xdr:from>
    <xdr:to>
      <xdr:col>56</xdr:col>
      <xdr:colOff>544194</xdr:colOff>
      <xdr:row>7</xdr:row>
      <xdr:rowOff>8255</xdr:rowOff>
    </xdr:to>
    <xdr:graphicFrame macro="">
      <xdr:nvGraphicFramePr>
        <xdr:cNvPr id="2" name="Chart 1">
          <a:extLst>
            <a:ext uri="{FF2B5EF4-FFF2-40B4-BE49-F238E27FC236}">
              <a16:creationId xmlns:a16="http://schemas.microsoft.com/office/drawing/2014/main" id="{0946A360-1580-42B9-866A-D70B571D3D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57</xdr:col>
      <xdr:colOff>189865</xdr:colOff>
      <xdr:row>1</xdr:row>
      <xdr:rowOff>0</xdr:rowOff>
    </xdr:from>
    <xdr:to>
      <xdr:col>63</xdr:col>
      <xdr:colOff>130174</xdr:colOff>
      <xdr:row>7</xdr:row>
      <xdr:rowOff>21590</xdr:rowOff>
    </xdr:to>
    <xdr:graphicFrame macro="">
      <xdr:nvGraphicFramePr>
        <xdr:cNvPr id="3" name="Chart 2">
          <a:extLst>
            <a:ext uri="{FF2B5EF4-FFF2-40B4-BE49-F238E27FC236}">
              <a16:creationId xmlns:a16="http://schemas.microsoft.com/office/drawing/2014/main" id="{A15F0120-1DF0-46FE-903C-E99103B53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FSG/Groups/WFBR/01_Projects/62341895-00%20-%20%20LWV1928%20Off-flavor%20reduction%20%20(MVin)/03-Tasks/WP4B/1.%20Functional%20tests/Dispersibility/20220829/20220829_Dispersibili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pictures"/>
      <sheetName val="data pea"/>
      <sheetName val="data yellow pea"/>
      <sheetName val="data fava"/>
      <sheetName val="data Emsland"/>
      <sheetName val="Summary"/>
    </sheetNames>
    <sheetDataSet>
      <sheetData sheetId="0" refreshError="1"/>
      <sheetData sheetId="1" refreshError="1"/>
      <sheetData sheetId="2" refreshError="1"/>
      <sheetData sheetId="3" refreshError="1"/>
      <sheetData sheetId="4">
        <row r="3">
          <cell r="AO3" t="str">
            <v>HFB - faba bean - 0 min</v>
          </cell>
          <cell r="AP3">
            <v>0.51791944383053978</v>
          </cell>
          <cell r="AQ3">
            <v>3.3373228572580759E-3</v>
          </cell>
          <cell r="AR3">
            <v>3.2899031690210427</v>
          </cell>
          <cell r="AS3">
            <v>3.6299697514322576E-2</v>
          </cell>
        </row>
        <row r="6">
          <cell r="AO6" t="str">
            <v>HFB - faba bean - 30 min - Duran 100°C</v>
          </cell>
          <cell r="AP6">
            <v>0.50211216520786517</v>
          </cell>
          <cell r="AQ6">
            <v>4.5359944023394376E-3</v>
          </cell>
          <cell r="AR6">
            <v>3.1653406933765424</v>
          </cell>
          <cell r="AS6">
            <v>3.7829236556048647E-2</v>
          </cell>
        </row>
        <row r="9">
          <cell r="AO9" t="str">
            <v>HFB - faba bean - 60 min - Duran 100°C</v>
          </cell>
          <cell r="AP9">
            <v>0.49581511945553297</v>
          </cell>
          <cell r="AQ9">
            <v>3.5624191476133879E-3</v>
          </cell>
          <cell r="AR9">
            <v>3.0546180630394613</v>
          </cell>
          <cell r="AS9">
            <v>4.7311707637150036E-2</v>
          </cell>
        </row>
        <row r="12">
          <cell r="AO12" t="str">
            <v>HFB - faba bean - 120 min - Duran 100°C</v>
          </cell>
          <cell r="AP12">
            <v>0.47280628176840528</v>
          </cell>
          <cell r="AQ12">
            <v>6.1015831508536168E-3</v>
          </cell>
          <cell r="AR12">
            <v>2.76560005814112</v>
          </cell>
          <cell r="AS12">
            <v>3.2033875011709095E-2</v>
          </cell>
        </row>
      </sheetData>
      <sheetData sheetId="5" refreshError="1"/>
      <sheetData sheetId="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0DFEA75-88D0-45B2-921F-BDF724A13D88}" name="Table16" displayName="Table16" ref="C1:AN19" totalsRowShown="0" headerRowDxfId="38">
  <autoFilter ref="C1:AN19" xr:uid="{C0DFEA75-88D0-45B2-921F-BDF724A13D88}"/>
  <tableColumns count="38">
    <tableColumn id="1" xr3:uid="{A0634D42-2578-48EE-962F-4676A79634F2}" name="Sample name" dataDxfId="37"/>
    <tableColumn id="30" xr3:uid="{FD53B1D3-ED6A-40B6-8682-122A4DFF11F3}" name="DM%" dataDxfId="36"/>
    <tableColumn id="29" xr3:uid="{CE6715B4-1A38-4ADE-B6AB-BF89647BE887}" name="Powder (g) for 100g 4% DM w/w" dataDxfId="35">
      <calculatedColumnFormula>(4/Table16[[#This Row],[DM%]])*100</calculatedColumnFormula>
    </tableColumn>
    <tableColumn id="32" xr3:uid="{DF0D7CB2-E908-407F-A33E-68F48E70C9E0}" name="Empty tube (g)" dataDxfId="34"/>
    <tableColumn id="2" xr3:uid="{019343AF-D034-4DC7-B47D-8B9FAD5C5A67}" name="Powder (g) weighed" dataDxfId="33"/>
    <tableColumn id="33" xr3:uid="{891D0181-643A-4718-B9B9-AA8BEAD99AEC}" name="Cap (g)" dataDxfId="32"/>
    <tableColumn id="3" xr3:uid="{E0FB13B7-0910-4B6E-B75B-743891061D38}" name="Water (g)" dataDxfId="31"/>
    <tableColumn id="22" xr3:uid="{113CB8B9-AAEC-4CE3-83D3-0931F2252AF7}" name="Water (g) weighed" dataDxfId="30"/>
    <tableColumn id="4" xr3:uid="{38D48692-64B2-4911-9390-172AB8CB3FE7}" name="pH (-)" dataDxfId="29"/>
    <tableColumn id="15" xr3:uid="{B8AA5CCF-DD52-44F3-8604-FB27D181BB8C}" name="Conductivity 1 (uS/cm)" dataDxfId="28"/>
    <tableColumn id="23" xr3:uid="{1BADFA69-3D10-4699-88E2-643D84361860}" name="Conductivity 2 (uS/cm)" dataDxfId="27"/>
    <tableColumn id="26" xr3:uid="{17D5435B-E61C-45E7-89C3-9C99E77788EF}" name="Avg Conductivity (uS/cm)" dataDxfId="26"/>
    <tableColumn id="34" xr3:uid="{A76B52FA-2C44-44B0-B2C3-12A341065D6B}" name="Tube + sample after stirring &amp; centrifuge (g)" dataDxfId="25"/>
    <tableColumn id="14" xr3:uid="{3B1EE54C-FED0-4067-8FD8-7869A681CCC9}" name="Empty tray for supernatant (g)" dataDxfId="24"/>
    <tableColumn id="7" xr3:uid="{82CA32A6-A35F-4A97-994C-5282A2AD978A}" name="Tray + supernatant (g)" dataDxfId="23"/>
    <tableColumn id="36" xr3:uid="{E51114A5-9A61-4A37-9BA1-E9C0C1C24073}" name="Extra supernatant by pipet (g)" dataDxfId="22"/>
    <tableColumn id="37" xr3:uid="{EDC9E716-08C7-434F-B417-5B9BCB4B57EA}" name="Total supernatant (g)" dataDxfId="21">
      <calculatedColumnFormula>(Table16[[#This Row],[Tray + supernatant (g)]]+Table16[[#This Row],[Extra supernatant by pipet (g)]])-Table16[[#This Row],[Empty tray for supernatant (g)]]</calculatedColumnFormula>
    </tableColumn>
    <tableColumn id="8" xr3:uid="{8ABC5557-F164-43C9-8A48-48A26BD480B3}" name="Tube + pellet (g)" dataDxfId="20"/>
    <tableColumn id="35" xr3:uid="{59FCA783-7099-432A-9781-76D35D0A5F36}" name="Cap before drying (g)" dataDxfId="19"/>
    <tableColumn id="9" xr3:uid="{6B098CF6-6CF9-4103-B841-6EB32B9668FA}" name="Tube + dried pellet (g)" dataDxfId="18"/>
    <tableColumn id="10" xr3:uid="{E80CABB1-588B-4DF8-B07B-7E1BAA9B73D8}" name="Tray + dried supernatant (g)" dataDxfId="17"/>
    <tableColumn id="31" xr3:uid="{78F4053E-43A3-4EDA-B329-D1A9321E0E30}" name="Cap after drying (g)" dataDxfId="16"/>
    <tableColumn id="6" xr3:uid="{2BBCC80B-010C-48F8-9FB8-F33D82D0E607}" name="Cap content before drying (g)" dataDxfId="15">
      <calculatedColumnFormula>Table16[[#This Row],[Cap before drying (g)]]-Table16[[#This Row],[Cap (g)]]</calculatedColumnFormula>
    </tableColumn>
    <tableColumn id="5" xr3:uid="{F8E20535-015B-4686-AE09-649377A5BECE}" name="Cap content after drying (g)" dataDxfId="14">
      <calculatedColumnFormula>Table16[[#This Row],[Cap after drying (g)]]-Table16[[#This Row],[Cap (g)]]</calculatedColumnFormula>
    </tableColumn>
    <tableColumn id="20" xr3:uid="{3AB0B46F-417C-4A96-AE6D-0766F1D433DC}" name="Sample (g)" dataDxfId="13">
      <calculatedColumnFormula>Table16[[#This Row],[Powder (g) weighed]]+Table16[[#This Row],[Water (g) weighed]]</calculatedColumnFormula>
    </tableColumn>
    <tableColumn id="19" xr3:uid="{6F6E9D24-DA1A-4BA3-BBFE-00E410F5CEBE}" name="Wet pellet (g)" dataDxfId="12">
      <calculatedColumnFormula>Table16[[#This Row],[Tube + pellet (g)]]-Table16[[#This Row],[Empty tube (g)]]</calculatedColumnFormula>
    </tableColumn>
    <tableColumn id="18" xr3:uid="{62CF1D93-035B-491E-A5AC-8EC439748D70}" name="Supernatant (g)" dataDxfId="11">
      <calculatedColumnFormula>Table16[[#This Row],[Total supernatant (g)]]</calculatedColumnFormula>
    </tableColumn>
    <tableColumn id="17" xr3:uid="{DB0BD23C-10DF-40B5-BAD6-1D5DDCCDF59A}" name="Dried pellet (g)" dataDxfId="10">
      <calculatedColumnFormula>Table16[[#This Row],[Tube + dried pellet (g)]]-Table16[[#This Row],[Empty tube (g)]]</calculatedColumnFormula>
    </tableColumn>
    <tableColumn id="21" xr3:uid="{57DA2E84-9DC1-44F9-BE6A-A010382441B0}" name="Dried supernatant (g)" dataDxfId="9">
      <calculatedColumnFormula>Table16[[#This Row],[Tray + dried supernatant (g)]]-Table16[[#This Row],[Empty tray for supernatant (g)]]</calculatedColumnFormula>
    </tableColumn>
    <tableColumn id="25" xr3:uid="{418B8585-77FD-4B08-9EC5-3E74D838DB45}" name="fraction wet pellet" dataDxfId="8">
      <calculatedColumnFormula>Table16[[#This Row],[Wet pellet (g)]]/Table16[[#This Row],[Sample (g)]]</calculatedColumnFormula>
    </tableColumn>
    <tableColumn id="11" xr3:uid="{2C7BD0F4-8DB3-4EDD-9EB9-BFE7601FC974}" name="DM in pellet (%)" dataDxfId="7" dataCellStyle="Percent">
      <calculatedColumnFormula>Table16[[#This Row],[Dried pellet (g)]]/Table16[[#This Row],[Wet pellet (g)]]</calculatedColumnFormula>
    </tableColumn>
    <tableColumn id="12" xr3:uid="{CB7AFFB2-C8D5-4CDE-B667-8180FCE04E55}" name="DM in supernatant (%)" dataDxfId="6" dataCellStyle="Percent">
      <calculatedColumnFormula>Table16[[#This Row],[Dried supernatant (g)]]/Table16[[#This Row],[Supernatant (g)]]</calculatedColumnFormula>
    </tableColumn>
    <tableColumn id="27" xr3:uid="{E4D18A02-FFEA-451E-B85A-0A7C4ACA69D6}" name="Total DM (g)" dataDxfId="5" dataCellStyle="Percent">
      <calculatedColumnFormula>Table16[[#This Row],[Dried pellet (g)]]+Table16[[#This Row],[Dried supernatant (g)]]</calculatedColumnFormula>
    </tableColumn>
    <tableColumn id="28" xr3:uid="{ED41EA5E-0C66-4803-9261-9E2190DA1A00}" name="Solubility (%)" dataDxfId="4" dataCellStyle="Percent">
      <calculatedColumnFormula>Table16[[#This Row],[Dried supernatant (g)]]/Table16[[#This Row],[Total DM (g)]]</calculatedColumnFormula>
    </tableColumn>
    <tableColumn id="24" xr3:uid="{1EE86E0C-5506-4215-BDED-3D030DE45BD5}" name="WHC insoluble fraction" dataDxfId="3" dataCellStyle="Percent">
      <calculatedColumnFormula>(Table16[[#This Row],[Wet pellet (g)]]-Table16[[#This Row],[Dried pellet (g)]])/Table16[[#This Row],[Dried pellet (g)]]</calculatedColumnFormula>
    </tableColumn>
    <tableColumn id="38" xr3:uid="{290D989F-5776-4650-AC91-E3728C9EFA87}" name="Recovery (%)" dataDxfId="2" dataCellStyle="Percent">
      <calculatedColumnFormula>((Table16[[#This Row],[Total DM (g)]])/(Table16[[#This Row],[Powder (g) weighed]]*Table16[[#This Row],[DM%]]/100))*100</calculatedColumnFormula>
    </tableColumn>
    <tableColumn id="13" xr3:uid="{4BD79236-050D-43F4-B502-AFEA882775E8}" name="Remarks" dataDxfId="1"/>
    <tableColumn id="16" xr3:uid="{73DE05F2-0D22-40D1-A5A8-FCC58BA86E4B}" name="Column1"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468CD-C3AB-4830-A286-D38A75BA35CE}">
  <dimension ref="A2:P111"/>
  <sheetViews>
    <sheetView zoomScale="90" zoomScaleNormal="90" workbookViewId="0">
      <selection activeCell="A10" sqref="A10:XFD13"/>
    </sheetView>
  </sheetViews>
  <sheetFormatPr defaultRowHeight="15" x14ac:dyDescent="0.25"/>
  <cols>
    <col min="1" max="1" width="13.140625" customWidth="1"/>
    <col min="2" max="2" width="45.28515625" customWidth="1"/>
    <col min="4" max="4" width="158.7109375" customWidth="1"/>
    <col min="5" max="5" width="14" customWidth="1"/>
    <col min="6" max="6" width="46.42578125" customWidth="1"/>
    <col min="9" max="9" width="4.28515625" customWidth="1"/>
    <col min="14" max="14" width="4" customWidth="1"/>
  </cols>
  <sheetData>
    <row r="2" spans="1:5" x14ac:dyDescent="0.25">
      <c r="D2" s="16"/>
    </row>
    <row r="3" spans="1:5" ht="18.75" x14ac:dyDescent="0.25">
      <c r="D3" s="29" t="s">
        <v>33</v>
      </c>
    </row>
    <row r="4" spans="1:5" ht="116.45" customHeight="1" x14ac:dyDescent="0.25">
      <c r="D4" s="26" t="s">
        <v>84</v>
      </c>
    </row>
    <row r="5" spans="1:5" x14ac:dyDescent="0.25">
      <c r="D5" s="27" t="s">
        <v>51</v>
      </c>
    </row>
    <row r="6" spans="1:5" x14ac:dyDescent="0.25">
      <c r="D6" s="27" t="s">
        <v>52</v>
      </c>
    </row>
    <row r="7" spans="1:5" ht="15" customHeight="1" x14ac:dyDescent="0.25">
      <c r="D7" s="26" t="s">
        <v>34</v>
      </c>
    </row>
    <row r="8" spans="1:5" x14ac:dyDescent="0.25">
      <c r="D8" s="28"/>
    </row>
    <row r="9" spans="1:5" ht="18.75" x14ac:dyDescent="0.3">
      <c r="D9" s="30" t="s">
        <v>9</v>
      </c>
      <c r="E9" t="s">
        <v>79</v>
      </c>
    </row>
    <row r="10" spans="1:5" x14ac:dyDescent="0.25">
      <c r="E10" s="40"/>
    </row>
    <row r="11" spans="1:5" x14ac:dyDescent="0.25">
      <c r="E11" s="40"/>
    </row>
    <row r="12" spans="1:5" x14ac:dyDescent="0.25">
      <c r="E12" s="40"/>
    </row>
    <row r="13" spans="1:5" x14ac:dyDescent="0.25">
      <c r="E13" s="40"/>
    </row>
    <row r="14" spans="1:5" x14ac:dyDescent="0.25">
      <c r="A14" t="s">
        <v>53</v>
      </c>
      <c r="B14" t="s">
        <v>54</v>
      </c>
      <c r="C14">
        <v>37</v>
      </c>
      <c r="D14" t="s">
        <v>78</v>
      </c>
      <c r="E14" s="40">
        <v>2</v>
      </c>
    </row>
    <row r="15" spans="1:5" x14ac:dyDescent="0.25">
      <c r="A15" t="s">
        <v>55</v>
      </c>
      <c r="B15" t="s">
        <v>56</v>
      </c>
      <c r="C15">
        <v>38</v>
      </c>
      <c r="D15" t="s">
        <v>77</v>
      </c>
      <c r="E15" s="40" t="s">
        <v>81</v>
      </c>
    </row>
    <row r="16" spans="1:5" x14ac:dyDescent="0.25">
      <c r="A16" t="s">
        <v>57</v>
      </c>
      <c r="B16" t="s">
        <v>58</v>
      </c>
      <c r="C16">
        <v>39</v>
      </c>
      <c r="D16" t="s">
        <v>78</v>
      </c>
      <c r="E16" s="40">
        <v>2</v>
      </c>
    </row>
    <row r="17" spans="1:16" x14ac:dyDescent="0.25">
      <c r="A17" t="s">
        <v>59</v>
      </c>
      <c r="B17" t="s">
        <v>60</v>
      </c>
      <c r="C17">
        <v>40</v>
      </c>
      <c r="D17" t="s">
        <v>80</v>
      </c>
      <c r="E17" s="40">
        <v>3</v>
      </c>
    </row>
    <row r="18" spans="1:16" x14ac:dyDescent="0.25">
      <c r="A18" t="s">
        <v>61</v>
      </c>
      <c r="B18" t="s">
        <v>62</v>
      </c>
      <c r="C18">
        <v>41</v>
      </c>
      <c r="D18" t="s">
        <v>77</v>
      </c>
      <c r="E18" s="40">
        <v>2</v>
      </c>
    </row>
    <row r="19" spans="1:16" x14ac:dyDescent="0.25">
      <c r="A19" t="s">
        <v>63</v>
      </c>
      <c r="B19" t="s">
        <v>64</v>
      </c>
      <c r="C19">
        <v>42</v>
      </c>
      <c r="D19" t="s">
        <v>80</v>
      </c>
      <c r="E19" s="40">
        <v>3</v>
      </c>
    </row>
    <row r="21" spans="1:16" x14ac:dyDescent="0.25">
      <c r="D21" t="s">
        <v>83</v>
      </c>
    </row>
    <row r="22" spans="1:16" x14ac:dyDescent="0.25">
      <c r="D22" t="s">
        <v>82</v>
      </c>
    </row>
    <row r="24" spans="1:16" x14ac:dyDescent="0.25">
      <c r="D24" s="31"/>
    </row>
    <row r="29" spans="1:16" x14ac:dyDescent="0.25">
      <c r="D29" s="31"/>
    </row>
    <row r="30" spans="1:16" x14ac:dyDescent="0.25">
      <c r="D30" s="32"/>
    </row>
    <row r="31" spans="1:16" x14ac:dyDescent="0.25">
      <c r="D31" s="32"/>
      <c r="E31" s="33"/>
      <c r="F31" s="33"/>
      <c r="G31" s="33"/>
      <c r="H31" s="33"/>
      <c r="I31" s="33"/>
      <c r="J31" s="33"/>
      <c r="K31" s="33"/>
      <c r="L31" s="33"/>
      <c r="M31" s="33"/>
      <c r="N31" s="33"/>
      <c r="O31" s="33"/>
      <c r="P31" s="33"/>
    </row>
    <row r="32" spans="1:16" x14ac:dyDescent="0.25">
      <c r="E32" s="33"/>
      <c r="F32" s="33"/>
      <c r="G32" s="33"/>
      <c r="H32" s="33"/>
      <c r="I32" s="33"/>
      <c r="J32" s="33"/>
      <c r="K32" s="33"/>
      <c r="L32" s="33"/>
      <c r="M32" s="33"/>
      <c r="N32" s="33"/>
      <c r="O32" s="33"/>
      <c r="P32" s="33"/>
    </row>
    <row r="33" spans="5:16" x14ac:dyDescent="0.25">
      <c r="E33" s="33"/>
      <c r="F33" s="34"/>
      <c r="G33" s="34"/>
      <c r="H33" s="34"/>
      <c r="I33" s="34"/>
      <c r="J33" s="34"/>
      <c r="K33" s="34"/>
      <c r="L33" s="35"/>
      <c r="M33" s="34"/>
      <c r="N33" s="33"/>
      <c r="O33" s="33"/>
      <c r="P33" s="33"/>
    </row>
    <row r="34" spans="5:16" x14ac:dyDescent="0.25">
      <c r="E34" s="33"/>
      <c r="F34" s="34"/>
      <c r="G34" s="34"/>
      <c r="H34" s="34"/>
      <c r="I34" s="34"/>
      <c r="J34" s="34"/>
      <c r="K34" s="34"/>
      <c r="L34" s="35"/>
      <c r="M34" s="34"/>
      <c r="N34" s="33"/>
      <c r="O34" s="33"/>
      <c r="P34" s="33"/>
    </row>
    <row r="35" spans="5:16" x14ac:dyDescent="0.25">
      <c r="E35" s="33"/>
      <c r="F35" s="34"/>
      <c r="G35" s="34"/>
      <c r="H35" s="34"/>
      <c r="I35" s="34"/>
      <c r="J35" s="34"/>
      <c r="K35" s="34"/>
      <c r="L35" s="35"/>
      <c r="M35" s="34"/>
      <c r="N35" s="33"/>
      <c r="O35" s="33"/>
      <c r="P35" s="33"/>
    </row>
    <row r="36" spans="5:16" x14ac:dyDescent="0.25">
      <c r="E36" s="33"/>
      <c r="F36" s="34"/>
      <c r="G36" s="34"/>
      <c r="H36" s="34"/>
      <c r="I36" s="34"/>
      <c r="J36" s="34"/>
      <c r="K36" s="34"/>
      <c r="L36" s="35"/>
      <c r="M36" s="34"/>
      <c r="N36" s="33"/>
      <c r="O36" s="33"/>
      <c r="P36" s="33"/>
    </row>
    <row r="37" spans="5:16" x14ac:dyDescent="0.25">
      <c r="E37" s="33"/>
      <c r="F37" s="34"/>
      <c r="G37" s="34"/>
      <c r="H37" s="34"/>
      <c r="I37" s="34"/>
      <c r="J37" s="34"/>
      <c r="K37" s="34"/>
      <c r="L37" s="34"/>
      <c r="M37" s="34"/>
      <c r="N37" s="33"/>
      <c r="O37" s="33"/>
      <c r="P37" s="33"/>
    </row>
    <row r="38" spans="5:16" x14ac:dyDescent="0.25">
      <c r="E38" s="33"/>
      <c r="H38" s="34"/>
      <c r="I38" s="34"/>
      <c r="J38" s="34"/>
      <c r="K38" s="35"/>
      <c r="L38" s="34"/>
      <c r="M38" s="34"/>
      <c r="N38" s="33"/>
      <c r="O38" s="33"/>
      <c r="P38" s="33"/>
    </row>
    <row r="39" spans="5:16" x14ac:dyDescent="0.25">
      <c r="E39" s="33"/>
      <c r="H39" s="34"/>
      <c r="I39" s="34"/>
      <c r="J39" s="34"/>
      <c r="K39" s="35"/>
      <c r="L39" s="34"/>
      <c r="M39" s="34"/>
      <c r="N39" s="33"/>
      <c r="O39" s="33"/>
      <c r="P39" s="33"/>
    </row>
    <row r="40" spans="5:16" x14ac:dyDescent="0.25">
      <c r="E40" s="33"/>
      <c r="H40" s="34"/>
      <c r="I40" s="34"/>
      <c r="J40" s="34"/>
      <c r="K40" s="35"/>
      <c r="L40" s="34"/>
      <c r="M40" s="34"/>
      <c r="N40" s="33"/>
      <c r="O40" s="33"/>
      <c r="P40" s="33"/>
    </row>
    <row r="41" spans="5:16" x14ac:dyDescent="0.25">
      <c r="E41" s="33"/>
      <c r="H41" s="34"/>
      <c r="I41" s="34"/>
      <c r="J41" s="34"/>
      <c r="K41" s="35"/>
      <c r="L41" s="34"/>
      <c r="M41" s="34"/>
      <c r="N41" s="33"/>
      <c r="O41" s="33"/>
      <c r="P41" s="33"/>
    </row>
    <row r="42" spans="5:16" x14ac:dyDescent="0.25">
      <c r="E42" s="33"/>
      <c r="H42" s="34"/>
      <c r="I42" s="34"/>
      <c r="J42" s="34"/>
      <c r="K42" s="35"/>
      <c r="L42" s="34"/>
      <c r="M42" s="34"/>
      <c r="N42" s="33"/>
      <c r="O42" s="33"/>
      <c r="P42" s="33"/>
    </row>
    <row r="43" spans="5:16" x14ac:dyDescent="0.25">
      <c r="E43" s="33"/>
      <c r="H43" s="34"/>
      <c r="I43" s="34"/>
      <c r="J43" s="34"/>
      <c r="K43" s="35"/>
      <c r="L43" s="34"/>
      <c r="M43" s="34"/>
      <c r="N43" s="33"/>
      <c r="O43" s="33"/>
      <c r="P43" s="33"/>
    </row>
    <row r="44" spans="5:16" x14ac:dyDescent="0.25">
      <c r="E44" s="33"/>
      <c r="H44" s="33"/>
      <c r="I44" s="33"/>
      <c r="J44" s="33"/>
      <c r="K44" s="33"/>
      <c r="L44" s="33"/>
      <c r="M44" s="33"/>
      <c r="N44" s="33"/>
      <c r="O44" s="33"/>
      <c r="P44" s="33"/>
    </row>
    <row r="45" spans="5:16" x14ac:dyDescent="0.25">
      <c r="E45" s="33"/>
      <c r="H45" s="33"/>
      <c r="I45" s="33"/>
      <c r="J45" s="33"/>
      <c r="K45" s="33"/>
      <c r="L45" s="33"/>
      <c r="M45" s="33"/>
      <c r="N45" s="33"/>
      <c r="O45" s="33"/>
      <c r="P45" s="33"/>
    </row>
    <row r="46" spans="5:16" x14ac:dyDescent="0.25">
      <c r="E46" s="33"/>
      <c r="H46" s="33"/>
      <c r="I46" s="33"/>
      <c r="J46" s="33"/>
      <c r="K46" s="33"/>
      <c r="L46" s="33"/>
      <c r="M46" s="33"/>
      <c r="N46" s="33"/>
      <c r="O46" s="33"/>
      <c r="P46" s="33"/>
    </row>
    <row r="47" spans="5:16" x14ac:dyDescent="0.25">
      <c r="E47" s="33"/>
      <c r="H47" s="33"/>
      <c r="I47" s="33"/>
      <c r="J47" s="33"/>
      <c r="K47" s="33"/>
      <c r="L47" s="33"/>
      <c r="M47" s="33"/>
      <c r="N47" s="33"/>
      <c r="O47" s="33"/>
      <c r="P47" s="33"/>
    </row>
    <row r="48" spans="5:16" x14ac:dyDescent="0.25">
      <c r="E48" s="33"/>
      <c r="F48" s="33"/>
      <c r="G48" s="33"/>
      <c r="H48" s="33"/>
      <c r="I48" s="33"/>
      <c r="J48" s="33"/>
      <c r="K48" s="33"/>
      <c r="L48" s="33"/>
      <c r="M48" s="33"/>
      <c r="N48" s="33"/>
      <c r="O48" s="33"/>
      <c r="P48" s="33"/>
    </row>
    <row r="49" spans="5:16" x14ac:dyDescent="0.25">
      <c r="E49" s="33"/>
      <c r="F49" s="33"/>
      <c r="G49" s="33"/>
      <c r="H49" s="33"/>
      <c r="I49" s="33"/>
      <c r="J49" s="33"/>
      <c r="K49" s="33"/>
      <c r="L49" s="33"/>
      <c r="M49" s="33"/>
      <c r="N49" s="33"/>
      <c r="O49" s="33"/>
      <c r="P49" s="33"/>
    </row>
    <row r="50" spans="5:16" x14ac:dyDescent="0.25">
      <c r="E50" s="33"/>
      <c r="F50" s="33"/>
      <c r="G50" s="33"/>
      <c r="H50" s="33"/>
      <c r="I50" s="33"/>
      <c r="J50" s="33"/>
      <c r="K50" s="33"/>
      <c r="L50" s="33"/>
      <c r="M50" s="33"/>
      <c r="N50" s="33"/>
      <c r="O50" s="33"/>
      <c r="P50" s="33"/>
    </row>
    <row r="51" spans="5:16" x14ac:dyDescent="0.25">
      <c r="E51" s="33"/>
      <c r="F51" s="33"/>
      <c r="G51" s="33"/>
      <c r="H51" s="33"/>
      <c r="I51" s="33"/>
      <c r="J51" s="33"/>
      <c r="K51" s="33"/>
      <c r="L51" s="33"/>
      <c r="M51" s="33"/>
      <c r="N51" s="33"/>
      <c r="O51" s="33"/>
      <c r="P51" s="33"/>
    </row>
    <row r="52" spans="5:16" x14ac:dyDescent="0.25">
      <c r="E52" s="33"/>
      <c r="F52" s="33"/>
      <c r="G52" s="33"/>
      <c r="H52" s="33"/>
      <c r="I52" s="33"/>
      <c r="J52" s="33"/>
      <c r="K52" s="33"/>
      <c r="L52" s="33"/>
      <c r="M52" s="33"/>
      <c r="N52" s="33"/>
      <c r="O52" s="33"/>
      <c r="P52" s="33"/>
    </row>
    <row r="53" spans="5:16" x14ac:dyDescent="0.25">
      <c r="E53" s="33"/>
      <c r="F53" s="33"/>
      <c r="G53" s="33"/>
      <c r="H53" s="33"/>
      <c r="I53" s="33"/>
      <c r="J53" s="33"/>
      <c r="K53" s="33"/>
      <c r="L53" s="33"/>
      <c r="M53" s="33"/>
      <c r="N53" s="33"/>
      <c r="O53" s="33"/>
      <c r="P53" s="33"/>
    </row>
    <row r="54" spans="5:16" x14ac:dyDescent="0.25">
      <c r="E54" s="33"/>
      <c r="F54" s="33"/>
      <c r="G54" s="33"/>
      <c r="H54" s="33"/>
      <c r="I54" s="33"/>
      <c r="J54" s="33"/>
      <c r="K54" s="33"/>
      <c r="L54" s="33"/>
      <c r="M54" s="33"/>
      <c r="N54" s="33"/>
      <c r="O54" s="33"/>
      <c r="P54" s="33"/>
    </row>
    <row r="55" spans="5:16" x14ac:dyDescent="0.25">
      <c r="E55" s="33"/>
      <c r="F55" s="33"/>
      <c r="G55" s="33"/>
      <c r="H55" s="33"/>
      <c r="I55" s="33"/>
      <c r="J55" s="33"/>
      <c r="K55" s="33"/>
      <c r="L55" s="33"/>
      <c r="M55" s="33"/>
      <c r="N55" s="33"/>
      <c r="O55" s="33"/>
      <c r="P55" s="33"/>
    </row>
    <row r="56" spans="5:16" x14ac:dyDescent="0.25">
      <c r="E56" s="33"/>
      <c r="F56" s="33"/>
      <c r="G56" s="33"/>
      <c r="H56" s="33"/>
      <c r="I56" s="33"/>
      <c r="J56" s="33"/>
      <c r="K56" s="33"/>
      <c r="L56" s="33"/>
      <c r="M56" s="33"/>
      <c r="N56" s="33"/>
      <c r="O56" s="33"/>
      <c r="P56" s="33"/>
    </row>
    <row r="57" spans="5:16" x14ac:dyDescent="0.25">
      <c r="E57" s="33"/>
      <c r="F57" s="33"/>
      <c r="G57" s="33"/>
      <c r="H57" s="33"/>
      <c r="I57" s="33"/>
      <c r="J57" s="33"/>
      <c r="K57" s="33"/>
      <c r="L57" s="33"/>
      <c r="M57" s="33"/>
      <c r="N57" s="33"/>
      <c r="O57" s="33"/>
      <c r="P57" s="33"/>
    </row>
    <row r="58" spans="5:16" x14ac:dyDescent="0.25">
      <c r="E58" s="33"/>
      <c r="F58" s="33"/>
      <c r="G58" s="33"/>
      <c r="H58" s="33"/>
      <c r="I58" s="33"/>
      <c r="J58" s="33"/>
      <c r="K58" s="33"/>
      <c r="L58" s="33"/>
      <c r="M58" s="33"/>
      <c r="N58" s="33"/>
      <c r="O58" s="33"/>
      <c r="P58" s="33"/>
    </row>
    <row r="59" spans="5:16" x14ac:dyDescent="0.25">
      <c r="E59" s="33"/>
      <c r="F59" s="33"/>
      <c r="G59" s="33"/>
      <c r="H59" s="33"/>
      <c r="I59" s="33"/>
      <c r="J59" s="33"/>
      <c r="K59" s="33"/>
      <c r="L59" s="33"/>
      <c r="M59" s="33"/>
      <c r="N59" s="33"/>
      <c r="O59" s="33"/>
      <c r="P59" s="33"/>
    </row>
    <row r="60" spans="5:16" x14ac:dyDescent="0.25">
      <c r="E60" s="33"/>
      <c r="F60" s="33"/>
      <c r="G60" s="33"/>
      <c r="H60" s="33"/>
      <c r="I60" s="33"/>
      <c r="J60" s="33"/>
      <c r="K60" s="33"/>
      <c r="L60" s="33"/>
      <c r="M60" s="33"/>
      <c r="N60" s="33"/>
      <c r="O60" s="33"/>
      <c r="P60" s="33"/>
    </row>
    <row r="61" spans="5:16" x14ac:dyDescent="0.25">
      <c r="E61" s="33"/>
      <c r="F61" s="33"/>
      <c r="G61" s="33"/>
      <c r="H61" s="33"/>
      <c r="I61" s="33"/>
      <c r="J61" s="33"/>
      <c r="K61" s="33"/>
      <c r="L61" s="33"/>
      <c r="M61" s="33"/>
      <c r="N61" s="33"/>
      <c r="O61" s="33"/>
      <c r="P61" s="33"/>
    </row>
    <row r="62" spans="5:16" x14ac:dyDescent="0.25">
      <c r="E62" s="33"/>
      <c r="F62" s="33"/>
      <c r="G62" s="33"/>
      <c r="H62" s="33"/>
      <c r="I62" s="33"/>
      <c r="J62" s="33"/>
      <c r="K62" s="33"/>
      <c r="L62" s="33"/>
      <c r="M62" s="33"/>
      <c r="N62" s="33"/>
      <c r="O62" s="33"/>
      <c r="P62" s="33"/>
    </row>
    <row r="63" spans="5:16" x14ac:dyDescent="0.25">
      <c r="E63" s="33"/>
      <c r="F63" s="33"/>
      <c r="G63" s="33"/>
      <c r="H63" s="33"/>
      <c r="I63" s="33"/>
      <c r="J63" s="33"/>
      <c r="K63" s="33"/>
      <c r="L63" s="33"/>
      <c r="M63" s="33"/>
      <c r="N63" s="33"/>
      <c r="O63" s="33"/>
      <c r="P63" s="33"/>
    </row>
    <row r="64" spans="5:16" x14ac:dyDescent="0.25">
      <c r="E64" s="33"/>
      <c r="F64" s="33"/>
      <c r="G64" s="33"/>
      <c r="H64" s="33"/>
      <c r="I64" s="33"/>
      <c r="J64" s="33"/>
      <c r="K64" s="33"/>
      <c r="L64" s="33"/>
      <c r="M64" s="33"/>
      <c r="N64" s="33"/>
      <c r="O64" s="33"/>
      <c r="P64" s="33"/>
    </row>
    <row r="65" spans="5:16" x14ac:dyDescent="0.25">
      <c r="E65" s="33"/>
      <c r="F65" s="33"/>
      <c r="G65" s="33"/>
      <c r="H65" s="33"/>
      <c r="I65" s="33"/>
      <c r="J65" s="33"/>
      <c r="K65" s="33"/>
      <c r="L65" s="33"/>
      <c r="M65" s="33"/>
      <c r="N65" s="33"/>
      <c r="O65" s="33"/>
      <c r="P65" s="33"/>
    </row>
    <row r="66" spans="5:16" x14ac:dyDescent="0.25">
      <c r="E66" s="33"/>
      <c r="F66" s="33"/>
      <c r="G66" s="33"/>
      <c r="H66" s="33"/>
      <c r="I66" s="33"/>
      <c r="J66" s="33"/>
      <c r="K66" s="33"/>
      <c r="L66" s="33"/>
      <c r="M66" s="33"/>
      <c r="N66" s="33"/>
      <c r="O66" s="33"/>
      <c r="P66" s="33"/>
    </row>
    <row r="67" spans="5:16" x14ac:dyDescent="0.25">
      <c r="E67" s="33"/>
      <c r="F67" s="33"/>
      <c r="G67" s="33"/>
      <c r="H67" s="33"/>
      <c r="I67" s="33"/>
      <c r="J67" s="33"/>
      <c r="K67" s="33"/>
      <c r="L67" s="33"/>
      <c r="M67" s="33"/>
      <c r="N67" s="33"/>
      <c r="O67" s="33"/>
      <c r="P67" s="33"/>
    </row>
    <row r="68" spans="5:16" x14ac:dyDescent="0.25">
      <c r="E68" s="33"/>
      <c r="F68" s="33"/>
      <c r="G68" s="33"/>
      <c r="H68" s="33"/>
      <c r="I68" s="33"/>
      <c r="J68" s="33"/>
      <c r="K68" s="33"/>
      <c r="L68" s="33"/>
      <c r="M68" s="33"/>
      <c r="N68" s="33"/>
      <c r="O68" s="33"/>
      <c r="P68" s="33"/>
    </row>
    <row r="69" spans="5:16" x14ac:dyDescent="0.25">
      <c r="E69" s="33"/>
      <c r="F69" s="33"/>
      <c r="G69" s="33"/>
      <c r="H69" s="33"/>
      <c r="I69" s="33"/>
      <c r="J69" s="33"/>
      <c r="K69" s="33"/>
      <c r="L69" s="33"/>
      <c r="M69" s="33"/>
      <c r="N69" s="33"/>
      <c r="O69" s="33"/>
      <c r="P69" s="33"/>
    </row>
    <row r="70" spans="5:16" x14ac:dyDescent="0.25">
      <c r="E70" s="33"/>
      <c r="F70" s="33"/>
      <c r="G70" s="33"/>
      <c r="H70" s="33"/>
      <c r="I70" s="33"/>
      <c r="J70" s="33"/>
      <c r="K70" s="33"/>
      <c r="L70" s="33"/>
      <c r="M70" s="33"/>
      <c r="N70" s="33"/>
      <c r="O70" s="33"/>
      <c r="P70" s="33"/>
    </row>
    <row r="71" spans="5:16" x14ac:dyDescent="0.25">
      <c r="E71" s="33"/>
      <c r="F71" s="33"/>
      <c r="G71" s="33"/>
      <c r="H71" s="33"/>
      <c r="I71" s="33"/>
      <c r="J71" s="33"/>
      <c r="K71" s="33"/>
      <c r="L71" s="33"/>
      <c r="M71" s="33"/>
      <c r="N71" s="33"/>
      <c r="O71" s="33"/>
      <c r="P71" s="33"/>
    </row>
    <row r="72" spans="5:16" x14ac:dyDescent="0.25">
      <c r="E72" s="33"/>
      <c r="F72" s="33"/>
      <c r="G72" s="33"/>
      <c r="H72" s="33"/>
      <c r="I72" s="33"/>
      <c r="J72" s="33"/>
      <c r="K72" s="33"/>
      <c r="L72" s="33"/>
      <c r="M72" s="33"/>
      <c r="N72" s="33"/>
      <c r="O72" s="33"/>
      <c r="P72" s="33"/>
    </row>
    <row r="73" spans="5:16" x14ac:dyDescent="0.25">
      <c r="E73" s="33"/>
      <c r="F73" s="33"/>
      <c r="G73" s="33"/>
      <c r="H73" s="33"/>
      <c r="I73" s="33"/>
      <c r="J73" s="33"/>
      <c r="K73" s="33"/>
      <c r="L73" s="33"/>
      <c r="M73" s="33"/>
      <c r="N73" s="33"/>
      <c r="O73" s="33"/>
      <c r="P73" s="33"/>
    </row>
    <row r="74" spans="5:16" x14ac:dyDescent="0.25">
      <c r="E74" s="33"/>
      <c r="F74" s="33"/>
      <c r="G74" s="33"/>
      <c r="H74" s="33"/>
      <c r="I74" s="33"/>
      <c r="J74" s="33"/>
      <c r="K74" s="33"/>
      <c r="L74" s="33"/>
      <c r="M74" s="33"/>
      <c r="N74" s="33"/>
      <c r="O74" s="33"/>
      <c r="P74" s="33"/>
    </row>
    <row r="75" spans="5:16" x14ac:dyDescent="0.25">
      <c r="E75" s="33"/>
      <c r="F75" s="33"/>
      <c r="G75" s="33"/>
      <c r="H75" s="33"/>
      <c r="I75" s="33"/>
      <c r="J75" s="33"/>
      <c r="K75" s="33"/>
      <c r="L75" s="33"/>
      <c r="M75" s="33"/>
      <c r="N75" s="33"/>
      <c r="O75" s="33"/>
      <c r="P75" s="33"/>
    </row>
    <row r="76" spans="5:16" x14ac:dyDescent="0.25">
      <c r="E76" s="33"/>
      <c r="F76" s="33"/>
      <c r="G76" s="33"/>
      <c r="H76" s="33"/>
      <c r="I76" s="33"/>
      <c r="J76" s="33"/>
      <c r="K76" s="33"/>
      <c r="L76" s="33"/>
      <c r="M76" s="33"/>
      <c r="N76" s="33"/>
      <c r="O76" s="33"/>
      <c r="P76" s="33"/>
    </row>
    <row r="77" spans="5:16" x14ac:dyDescent="0.25">
      <c r="E77" s="33"/>
      <c r="F77" s="33"/>
      <c r="G77" s="33"/>
      <c r="H77" s="33"/>
      <c r="I77" s="33"/>
      <c r="J77" s="33"/>
      <c r="K77" s="33"/>
      <c r="L77" s="33"/>
      <c r="M77" s="33"/>
      <c r="N77" s="33"/>
      <c r="O77" s="33"/>
      <c r="P77" s="33"/>
    </row>
    <row r="78" spans="5:16" x14ac:dyDescent="0.25">
      <c r="E78" s="33"/>
      <c r="F78" s="33"/>
      <c r="G78" s="33"/>
      <c r="H78" s="33"/>
      <c r="I78" s="33"/>
      <c r="J78" s="33"/>
      <c r="K78" s="33"/>
      <c r="L78" s="33"/>
      <c r="M78" s="33"/>
      <c r="N78" s="33"/>
      <c r="O78" s="33"/>
      <c r="P78" s="33"/>
    </row>
    <row r="79" spans="5:16" x14ac:dyDescent="0.25">
      <c r="E79" s="33"/>
      <c r="F79" s="33"/>
      <c r="G79" s="33"/>
      <c r="H79" s="33"/>
      <c r="I79" s="33"/>
      <c r="J79" s="33"/>
      <c r="K79" s="33"/>
      <c r="L79" s="33"/>
      <c r="M79" s="33"/>
      <c r="N79" s="33"/>
      <c r="O79" s="33"/>
      <c r="P79" s="33"/>
    </row>
    <row r="80" spans="5:16" x14ac:dyDescent="0.25">
      <c r="E80" s="33"/>
      <c r="F80" s="33"/>
      <c r="G80" s="33"/>
      <c r="H80" s="33"/>
      <c r="I80" s="33"/>
      <c r="J80" s="33"/>
      <c r="K80" s="33"/>
      <c r="L80" s="33"/>
      <c r="M80" s="33"/>
      <c r="N80" s="33"/>
      <c r="O80" s="33"/>
      <c r="P80" s="33"/>
    </row>
    <row r="81" spans="5:16" x14ac:dyDescent="0.25">
      <c r="E81" s="33"/>
      <c r="F81" s="33"/>
      <c r="G81" s="33"/>
      <c r="H81" s="33"/>
      <c r="I81" s="33"/>
      <c r="J81" s="33"/>
      <c r="K81" s="33"/>
      <c r="L81" s="33"/>
      <c r="M81" s="33"/>
      <c r="N81" s="33"/>
      <c r="O81" s="33"/>
      <c r="P81" s="33"/>
    </row>
    <row r="82" spans="5:16" x14ac:dyDescent="0.25">
      <c r="E82" s="33"/>
      <c r="F82" s="33"/>
      <c r="G82" s="33"/>
      <c r="H82" s="33"/>
      <c r="I82" s="33"/>
      <c r="J82" s="33"/>
      <c r="K82" s="33"/>
      <c r="L82" s="33"/>
      <c r="M82" s="33"/>
      <c r="N82" s="33"/>
      <c r="O82" s="33"/>
      <c r="P82" s="33"/>
    </row>
    <row r="83" spans="5:16" x14ac:dyDescent="0.25">
      <c r="E83" s="33"/>
      <c r="F83" s="33"/>
      <c r="G83" s="33"/>
      <c r="H83" s="33"/>
      <c r="I83" s="33"/>
      <c r="J83" s="33"/>
      <c r="K83" s="33"/>
      <c r="L83" s="33"/>
      <c r="M83" s="33"/>
      <c r="N83" s="33"/>
      <c r="O83" s="33"/>
      <c r="P83" s="33"/>
    </row>
    <row r="84" spans="5:16" x14ac:dyDescent="0.25">
      <c r="E84" s="33"/>
      <c r="F84" s="33"/>
      <c r="G84" s="33"/>
      <c r="H84" s="33"/>
      <c r="I84" s="33"/>
      <c r="J84" s="33"/>
      <c r="K84" s="33"/>
      <c r="L84" s="33"/>
      <c r="M84" s="33"/>
      <c r="N84" s="33"/>
      <c r="O84" s="33"/>
      <c r="P84" s="33"/>
    </row>
    <row r="85" spans="5:16" x14ac:dyDescent="0.25">
      <c r="E85" s="33"/>
      <c r="F85" s="33"/>
      <c r="G85" s="33"/>
      <c r="H85" s="33"/>
      <c r="I85" s="33"/>
      <c r="J85" s="33"/>
      <c r="K85" s="33"/>
      <c r="L85" s="33"/>
      <c r="M85" s="33"/>
      <c r="N85" s="33"/>
      <c r="O85" s="33"/>
      <c r="P85" s="33"/>
    </row>
    <row r="86" spans="5:16" x14ac:dyDescent="0.25">
      <c r="E86" s="33"/>
      <c r="F86" s="33"/>
      <c r="G86" s="33"/>
      <c r="H86" s="33"/>
      <c r="I86" s="33"/>
      <c r="J86" s="33"/>
      <c r="K86" s="33"/>
      <c r="L86" s="33"/>
      <c r="M86" s="33"/>
      <c r="N86" s="33"/>
      <c r="O86" s="33"/>
      <c r="P86" s="33"/>
    </row>
    <row r="87" spans="5:16" x14ac:dyDescent="0.25">
      <c r="E87" s="33"/>
      <c r="F87" s="33"/>
      <c r="G87" s="33"/>
      <c r="H87" s="33"/>
      <c r="I87" s="33"/>
      <c r="J87" s="33"/>
      <c r="K87" s="33"/>
      <c r="L87" s="33"/>
      <c r="M87" s="33"/>
      <c r="N87" s="33"/>
      <c r="O87" s="33"/>
      <c r="P87" s="33"/>
    </row>
    <row r="88" spans="5:16" x14ac:dyDescent="0.25">
      <c r="E88" s="33"/>
      <c r="F88" s="33"/>
      <c r="G88" s="33"/>
      <c r="H88" s="33"/>
      <c r="I88" s="33"/>
      <c r="J88" s="33"/>
      <c r="K88" s="33"/>
      <c r="L88" s="33"/>
      <c r="M88" s="33"/>
      <c r="N88" s="33"/>
      <c r="O88" s="33"/>
      <c r="P88" s="33"/>
    </row>
    <row r="89" spans="5:16" x14ac:dyDescent="0.25">
      <c r="E89" s="33"/>
      <c r="F89" s="33"/>
      <c r="G89" s="33"/>
      <c r="H89" s="33"/>
      <c r="I89" s="33"/>
      <c r="J89" s="33"/>
      <c r="K89" s="33"/>
      <c r="L89" s="33"/>
      <c r="M89" s="33"/>
      <c r="N89" s="33"/>
      <c r="O89" s="33"/>
      <c r="P89" s="33"/>
    </row>
    <row r="90" spans="5:16" x14ac:dyDescent="0.25">
      <c r="E90" s="33"/>
      <c r="F90" s="33"/>
      <c r="G90" s="33"/>
      <c r="H90" s="33"/>
      <c r="I90" s="33"/>
      <c r="J90" s="33"/>
      <c r="K90" s="33"/>
      <c r="L90" s="33"/>
      <c r="M90" s="33"/>
      <c r="N90" s="33"/>
      <c r="O90" s="33"/>
      <c r="P90" s="33"/>
    </row>
    <row r="91" spans="5:16" x14ac:dyDescent="0.25">
      <c r="E91" s="33"/>
      <c r="F91" s="33"/>
      <c r="G91" s="33"/>
      <c r="H91" s="33"/>
      <c r="I91" s="33"/>
      <c r="J91" s="33"/>
      <c r="K91" s="33"/>
      <c r="L91" s="33"/>
      <c r="M91" s="33"/>
      <c r="N91" s="33"/>
      <c r="O91" s="33"/>
      <c r="P91" s="33"/>
    </row>
    <row r="92" spans="5:16" x14ac:dyDescent="0.25">
      <c r="E92" s="33"/>
      <c r="F92" s="33"/>
      <c r="G92" s="33"/>
      <c r="H92" s="33"/>
      <c r="I92" s="33"/>
      <c r="J92" s="33"/>
      <c r="K92" s="33"/>
      <c r="L92" s="33"/>
      <c r="M92" s="33"/>
      <c r="N92" s="33"/>
      <c r="O92" s="33"/>
      <c r="P92" s="33"/>
    </row>
    <row r="93" spans="5:16" x14ac:dyDescent="0.25">
      <c r="E93" s="33"/>
      <c r="F93" s="33"/>
      <c r="G93" s="33"/>
      <c r="H93" s="33"/>
      <c r="I93" s="33"/>
      <c r="J93" s="33"/>
      <c r="K93" s="33"/>
      <c r="L93" s="33"/>
      <c r="M93" s="33"/>
      <c r="N93" s="33"/>
      <c r="O93" s="33"/>
      <c r="P93" s="33"/>
    </row>
    <row r="94" spans="5:16" x14ac:dyDescent="0.25">
      <c r="E94" s="33"/>
      <c r="F94" s="33"/>
      <c r="G94" s="33"/>
      <c r="H94" s="33"/>
      <c r="I94" s="33"/>
      <c r="J94" s="33"/>
      <c r="K94" s="33"/>
      <c r="L94" s="33"/>
      <c r="M94" s="33"/>
      <c r="N94" s="33"/>
      <c r="O94" s="33"/>
      <c r="P94" s="33"/>
    </row>
    <row r="95" spans="5:16" x14ac:dyDescent="0.25">
      <c r="E95" s="33"/>
      <c r="F95" s="33"/>
      <c r="G95" s="33"/>
      <c r="H95" s="33"/>
      <c r="I95" s="33"/>
      <c r="J95" s="33"/>
      <c r="K95" s="33"/>
      <c r="L95" s="33"/>
      <c r="M95" s="33"/>
      <c r="N95" s="33"/>
      <c r="O95" s="33"/>
      <c r="P95" s="33"/>
    </row>
    <row r="96" spans="5:16" x14ac:dyDescent="0.25">
      <c r="E96" s="33"/>
      <c r="F96" s="33"/>
      <c r="G96" s="33"/>
      <c r="H96" s="33"/>
      <c r="I96" s="33"/>
      <c r="J96" s="33"/>
      <c r="K96" s="33"/>
      <c r="L96" s="33"/>
      <c r="M96" s="33"/>
      <c r="N96" s="33"/>
      <c r="O96" s="33"/>
      <c r="P96" s="33"/>
    </row>
    <row r="97" spans="5:16" x14ac:dyDescent="0.25">
      <c r="E97" s="33"/>
      <c r="F97" s="33"/>
      <c r="G97" s="33"/>
      <c r="H97" s="33"/>
      <c r="I97" s="33"/>
      <c r="J97" s="33"/>
      <c r="K97" s="33"/>
      <c r="L97" s="33"/>
      <c r="M97" s="33"/>
      <c r="N97" s="33"/>
      <c r="O97" s="33"/>
      <c r="P97" s="33"/>
    </row>
    <row r="98" spans="5:16" x14ac:dyDescent="0.25">
      <c r="E98" s="33"/>
      <c r="F98" s="33"/>
      <c r="G98" s="33"/>
      <c r="H98" s="33"/>
      <c r="I98" s="33"/>
      <c r="J98" s="33"/>
      <c r="K98" s="33"/>
      <c r="L98" s="33"/>
      <c r="M98" s="33"/>
      <c r="N98" s="33"/>
      <c r="O98" s="33"/>
      <c r="P98" s="33"/>
    </row>
    <row r="99" spans="5:16" x14ac:dyDescent="0.25">
      <c r="E99" s="33"/>
      <c r="F99" s="33"/>
      <c r="G99" s="33"/>
      <c r="H99" s="33"/>
      <c r="I99" s="33"/>
      <c r="J99" s="33"/>
      <c r="K99" s="33"/>
      <c r="L99" s="33"/>
      <c r="M99" s="33"/>
      <c r="N99" s="33"/>
      <c r="O99" s="33"/>
      <c r="P99" s="33"/>
    </row>
    <row r="100" spans="5:16" x14ac:dyDescent="0.25">
      <c r="E100" s="33"/>
      <c r="F100" s="33"/>
      <c r="G100" s="33"/>
      <c r="H100" s="33"/>
      <c r="I100" s="33"/>
      <c r="J100" s="33"/>
      <c r="K100" s="33"/>
      <c r="L100" s="33"/>
      <c r="M100" s="33"/>
      <c r="N100" s="33"/>
      <c r="O100" s="33"/>
      <c r="P100" s="33"/>
    </row>
    <row r="101" spans="5:16" x14ac:dyDescent="0.25">
      <c r="E101" s="33"/>
      <c r="F101" s="33"/>
      <c r="G101" s="33"/>
      <c r="H101" s="33"/>
      <c r="I101" s="33"/>
      <c r="J101" s="33"/>
      <c r="K101" s="33"/>
      <c r="L101" s="33"/>
      <c r="M101" s="33"/>
      <c r="N101" s="33"/>
      <c r="O101" s="33"/>
      <c r="P101" s="33"/>
    </row>
    <row r="102" spans="5:16" x14ac:dyDescent="0.25">
      <c r="E102" s="33"/>
      <c r="F102" s="33"/>
      <c r="G102" s="33"/>
      <c r="H102" s="33"/>
      <c r="I102" s="33"/>
      <c r="J102" s="33"/>
      <c r="K102" s="33"/>
      <c r="L102" s="33"/>
      <c r="M102" s="33"/>
      <c r="N102" s="33"/>
      <c r="O102" s="33"/>
      <c r="P102" s="33"/>
    </row>
    <row r="103" spans="5:16" x14ac:dyDescent="0.25">
      <c r="E103" s="33"/>
      <c r="F103" s="33"/>
      <c r="G103" s="33"/>
      <c r="H103" s="33"/>
      <c r="I103" s="33"/>
      <c r="J103" s="33"/>
      <c r="K103" s="33"/>
      <c r="L103" s="33"/>
      <c r="M103" s="33"/>
      <c r="N103" s="33"/>
      <c r="O103" s="33"/>
      <c r="P103" s="33"/>
    </row>
    <row r="104" spans="5:16" x14ac:dyDescent="0.25">
      <c r="E104" s="33"/>
      <c r="F104" s="33"/>
      <c r="G104" s="33"/>
      <c r="H104" s="33"/>
      <c r="I104" s="33"/>
      <c r="J104" s="33"/>
      <c r="K104" s="33"/>
      <c r="L104" s="33"/>
      <c r="M104" s="33"/>
      <c r="N104" s="33"/>
      <c r="O104" s="33"/>
      <c r="P104" s="33"/>
    </row>
    <row r="105" spans="5:16" x14ac:dyDescent="0.25">
      <c r="E105" s="33"/>
      <c r="F105" s="33"/>
      <c r="G105" s="33"/>
      <c r="H105" s="33"/>
      <c r="I105" s="33"/>
      <c r="J105" s="33"/>
      <c r="K105" s="33"/>
      <c r="L105" s="33"/>
      <c r="M105" s="33"/>
      <c r="N105" s="33"/>
      <c r="O105" s="33"/>
      <c r="P105" s="33"/>
    </row>
    <row r="106" spans="5:16" x14ac:dyDescent="0.25">
      <c r="E106" s="33"/>
      <c r="F106" s="33"/>
      <c r="G106" s="33"/>
      <c r="H106" s="33"/>
      <c r="I106" s="33"/>
      <c r="J106" s="33"/>
      <c r="K106" s="33"/>
      <c r="L106" s="33"/>
      <c r="M106" s="33"/>
      <c r="N106" s="33"/>
      <c r="O106" s="33"/>
      <c r="P106" s="33"/>
    </row>
    <row r="107" spans="5:16" x14ac:dyDescent="0.25">
      <c r="E107" s="33"/>
      <c r="F107" s="33"/>
      <c r="G107" s="33"/>
      <c r="H107" s="33"/>
      <c r="I107" s="33"/>
      <c r="J107" s="33"/>
      <c r="K107" s="33"/>
      <c r="L107" s="33"/>
      <c r="M107" s="33"/>
      <c r="N107" s="33"/>
      <c r="O107" s="33"/>
      <c r="P107" s="33"/>
    </row>
    <row r="108" spans="5:16" x14ac:dyDescent="0.25">
      <c r="E108" s="33"/>
      <c r="F108" s="33"/>
      <c r="G108" s="33"/>
      <c r="H108" s="33"/>
      <c r="I108" s="33"/>
      <c r="J108" s="33"/>
      <c r="K108" s="33"/>
      <c r="L108" s="33"/>
      <c r="M108" s="33"/>
      <c r="N108" s="33"/>
      <c r="O108" s="33"/>
      <c r="P108" s="33"/>
    </row>
    <row r="109" spans="5:16" x14ac:dyDescent="0.25">
      <c r="E109" s="33"/>
      <c r="F109" s="33"/>
      <c r="G109" s="33"/>
      <c r="H109" s="33"/>
      <c r="I109" s="33"/>
      <c r="J109" s="33"/>
      <c r="K109" s="33"/>
      <c r="L109" s="33"/>
      <c r="M109" s="33"/>
      <c r="N109" s="33"/>
      <c r="O109" s="33"/>
      <c r="P109" s="33"/>
    </row>
    <row r="110" spans="5:16" x14ac:dyDescent="0.25">
      <c r="E110" s="33"/>
      <c r="F110" s="33"/>
      <c r="G110" s="33"/>
      <c r="H110" s="33"/>
      <c r="I110" s="33"/>
      <c r="J110" s="33"/>
      <c r="K110" s="33"/>
      <c r="L110" s="33"/>
      <c r="M110" s="33"/>
      <c r="N110" s="33"/>
      <c r="O110" s="33"/>
      <c r="P110" s="33"/>
    </row>
    <row r="111" spans="5:16" x14ac:dyDescent="0.25">
      <c r="E111" s="33"/>
      <c r="F111" s="33"/>
      <c r="G111" s="33"/>
      <c r="H111" s="33"/>
      <c r="I111" s="33"/>
      <c r="J111" s="33"/>
      <c r="K111" s="33"/>
      <c r="L111" s="33"/>
      <c r="M111" s="33"/>
      <c r="N111" s="33"/>
      <c r="O111" s="33"/>
      <c r="P111" s="33"/>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21FB8-2261-4719-8069-896943A9AABC}">
  <dimension ref="A1:AU24"/>
  <sheetViews>
    <sheetView tabSelected="1" zoomScale="70" zoomScaleNormal="70" workbookViewId="0">
      <selection sqref="A1:XFD19"/>
    </sheetView>
  </sheetViews>
  <sheetFormatPr defaultRowHeight="15" x14ac:dyDescent="0.25"/>
  <cols>
    <col min="1" max="1" width="8.85546875" style="39"/>
    <col min="2" max="2" width="8.7109375" style="39" customWidth="1"/>
    <col min="3" max="3" width="44.7109375" customWidth="1"/>
    <col min="4" max="4" width="9.7109375" customWidth="1"/>
    <col min="5" max="8" width="13.28515625" customWidth="1"/>
    <col min="9" max="10" width="14" style="4" customWidth="1"/>
    <col min="11" max="11" width="8" style="4" customWidth="1"/>
    <col min="12" max="12" width="14.28515625" style="4" hidden="1" customWidth="1"/>
    <col min="13" max="13" width="13.42578125" style="4" hidden="1" customWidth="1"/>
    <col min="14" max="14" width="11.7109375" style="19" hidden="1" customWidth="1"/>
    <col min="15" max="16" width="13.5703125" style="4" customWidth="1"/>
    <col min="17" max="21" width="14.28515625" style="4" customWidth="1"/>
    <col min="22" max="22" width="12.28515625" style="4" customWidth="1"/>
    <col min="23" max="26" width="13.42578125" style="4" customWidth="1"/>
    <col min="27" max="27" width="8" style="3" customWidth="1"/>
    <col min="28" max="28" width="8.28515625" style="3" customWidth="1"/>
    <col min="29" max="29" width="12.42578125" style="3" customWidth="1"/>
    <col min="30" max="30" width="11.28515625" style="3" customWidth="1"/>
    <col min="31" max="33" width="12.28515625" style="3" customWidth="1"/>
    <col min="34" max="34" width="12.7109375" style="3" customWidth="1"/>
    <col min="35" max="35" width="12.7109375" style="10" customWidth="1"/>
    <col min="36" max="36" width="12.7109375" style="12" customWidth="1"/>
    <col min="37" max="38" width="11.5703125" style="8" customWidth="1"/>
    <col min="39" max="39" width="12.42578125" customWidth="1"/>
    <col min="40" max="40" width="13" style="3" bestFit="1" customWidth="1"/>
    <col min="41" max="41" width="64.42578125" customWidth="1"/>
    <col min="44" max="44" width="12.42578125" customWidth="1"/>
    <col min="46" max="47" width="13" style="3" customWidth="1"/>
  </cols>
  <sheetData>
    <row r="1" spans="1:47" s="1" customFormat="1" ht="60" x14ac:dyDescent="0.25">
      <c r="A1" s="38" t="s">
        <v>25</v>
      </c>
      <c r="B1" s="38" t="s">
        <v>25</v>
      </c>
      <c r="C1" s="1" t="s">
        <v>0</v>
      </c>
      <c r="D1" s="1" t="s">
        <v>35</v>
      </c>
      <c r="E1" s="43" t="s">
        <v>36</v>
      </c>
      <c r="F1" s="1" t="s">
        <v>2</v>
      </c>
      <c r="G1" s="1" t="s">
        <v>37</v>
      </c>
      <c r="H1" s="1" t="s">
        <v>39</v>
      </c>
      <c r="I1" s="42" t="s">
        <v>1</v>
      </c>
      <c r="J1" s="17" t="s">
        <v>38</v>
      </c>
      <c r="K1" s="17" t="s">
        <v>11</v>
      </c>
      <c r="L1" s="17" t="s">
        <v>12</v>
      </c>
      <c r="M1" s="17" t="s">
        <v>13</v>
      </c>
      <c r="N1" s="18" t="s">
        <v>17</v>
      </c>
      <c r="O1" s="17" t="s">
        <v>40</v>
      </c>
      <c r="P1" s="17" t="s">
        <v>22</v>
      </c>
      <c r="Q1" s="17" t="s">
        <v>23</v>
      </c>
      <c r="R1" s="17" t="s">
        <v>42</v>
      </c>
      <c r="S1" s="42" t="s">
        <v>43</v>
      </c>
      <c r="T1" s="17" t="s">
        <v>4</v>
      </c>
      <c r="U1" s="17" t="s">
        <v>41</v>
      </c>
      <c r="V1" s="17" t="s">
        <v>3</v>
      </c>
      <c r="W1" s="17" t="s">
        <v>24</v>
      </c>
      <c r="X1" s="17" t="s">
        <v>49</v>
      </c>
      <c r="Y1" s="25" t="s">
        <v>47</v>
      </c>
      <c r="Z1" s="25" t="s">
        <v>48</v>
      </c>
      <c r="AA1" s="2" t="s">
        <v>5</v>
      </c>
      <c r="AB1" s="2" t="s">
        <v>15</v>
      </c>
      <c r="AC1" s="2" t="s">
        <v>6</v>
      </c>
      <c r="AD1" s="2" t="s">
        <v>7</v>
      </c>
      <c r="AE1" s="2" t="s">
        <v>8</v>
      </c>
      <c r="AF1" s="2" t="s">
        <v>16</v>
      </c>
      <c r="AG1" s="2" t="s">
        <v>21</v>
      </c>
      <c r="AH1" s="2" t="s">
        <v>20</v>
      </c>
      <c r="AI1" s="9" t="s">
        <v>19</v>
      </c>
      <c r="AJ1" s="11" t="s">
        <v>18</v>
      </c>
      <c r="AK1" s="6" t="s">
        <v>14</v>
      </c>
      <c r="AL1" s="6" t="s">
        <v>50</v>
      </c>
      <c r="AM1" s="1" t="s">
        <v>9</v>
      </c>
      <c r="AN1" s="3" t="s">
        <v>10</v>
      </c>
      <c r="AP1" s="1" t="s">
        <v>26</v>
      </c>
      <c r="AQ1" s="1" t="s">
        <v>28</v>
      </c>
      <c r="AR1" s="1" t="s">
        <v>27</v>
      </c>
      <c r="AS1" s="1" t="s">
        <v>29</v>
      </c>
      <c r="AT1" s="3"/>
      <c r="AU1" s="3"/>
    </row>
    <row r="2" spans="1:47" x14ac:dyDescent="0.25">
      <c r="A2" s="39">
        <v>37</v>
      </c>
      <c r="B2" s="39">
        <v>1</v>
      </c>
      <c r="C2" s="3" t="s">
        <v>54</v>
      </c>
      <c r="D2" s="20">
        <v>91.66</v>
      </c>
      <c r="E2" s="21">
        <f>(4/Table16[[#This Row],[DM%]])*30</f>
        <v>1.3091861226271002</v>
      </c>
      <c r="F2" s="21">
        <v>10.311199999999999</v>
      </c>
      <c r="G2" s="21">
        <v>1.3035000000000001</v>
      </c>
      <c r="H2" s="21">
        <v>2.9331</v>
      </c>
      <c r="I2" s="21">
        <f>30-Table16[[#This Row],[Powder (g) for 100g 4% DM w/w]]</f>
        <v>28.6908138773729</v>
      </c>
      <c r="J2" s="21">
        <v>28.681999999999999</v>
      </c>
      <c r="K2" s="8">
        <v>6.52</v>
      </c>
      <c r="L2" s="8"/>
      <c r="M2" s="8"/>
      <c r="N2" s="8"/>
      <c r="O2" s="21">
        <v>43.177799999999998</v>
      </c>
      <c r="P2" s="21">
        <v>2.1787000000000001</v>
      </c>
      <c r="Q2" s="21">
        <v>29.8916</v>
      </c>
      <c r="R2" s="21"/>
      <c r="S2" s="21">
        <f>(Table16[[#This Row],[Tray + supernatant (g)]]+Table16[[#This Row],[Extra supernatant by pipet (g)]])-Table16[[#This Row],[Empty tray for supernatant (g)]]</f>
        <v>27.712900000000001</v>
      </c>
      <c r="T2" s="21">
        <v>12.5235</v>
      </c>
      <c r="U2" s="21">
        <v>2.9336000000000002</v>
      </c>
      <c r="V2" s="21">
        <v>10.6981</v>
      </c>
      <c r="W2" s="21">
        <v>2.9706999999999999</v>
      </c>
      <c r="X2" s="21">
        <v>2.9276</v>
      </c>
      <c r="Y2" s="21">
        <f>Table16[[#This Row],[Cap before drying (g)]]-Table16[[#This Row],[Cap (g)]]</f>
        <v>5.0000000000016698E-4</v>
      </c>
      <c r="Z2" s="21">
        <f>Table16[[#This Row],[Cap after drying (g)]]-Table16[[#This Row],[Cap (g)]]</f>
        <v>-5.5000000000000604E-3</v>
      </c>
      <c r="AA2" s="21">
        <f>Table16[[#This Row],[Powder (g) weighed]]+Table16[[#This Row],[Water (g) weighed]]</f>
        <v>29.985499999999998</v>
      </c>
      <c r="AB2" s="21">
        <f>Table16[[#This Row],[Tube + pellet (g)]]-Table16[[#This Row],[Empty tube (g)]]</f>
        <v>2.2123000000000008</v>
      </c>
      <c r="AC2" s="21">
        <f>Table16[[#This Row],[Total supernatant (g)]]</f>
        <v>27.712900000000001</v>
      </c>
      <c r="AD2" s="21">
        <f>Table16[[#This Row],[Tube + dried pellet (g)]]-Table16[[#This Row],[Empty tube (g)]]</f>
        <v>0.38690000000000069</v>
      </c>
      <c r="AE2" s="21">
        <f>Table16[[#This Row],[Tray + dried supernatant (g)]]-Table16[[#This Row],[Empty tray for supernatant (g)]]</f>
        <v>0.79199999999999982</v>
      </c>
      <c r="AF2" s="5">
        <f>Table16[[#This Row],[Wet pellet (g)]]/Table16[[#This Row],[Sample (g)]]</f>
        <v>7.3778993180037056E-2</v>
      </c>
      <c r="AG2" s="5">
        <f>Table16[[#This Row],[Dried pellet (g)]]/Table16[[#This Row],[Wet pellet (g)]]</f>
        <v>0.17488586538896195</v>
      </c>
      <c r="AH2" s="5">
        <f>Table16[[#This Row],[Dried supernatant (g)]]/Table16[[#This Row],[Supernatant (g)]]</f>
        <v>2.8578748525055112E-2</v>
      </c>
      <c r="AI2" s="10">
        <f>Table16[[#This Row],[Dried pellet (g)]]+Table16[[#This Row],[Dried supernatant (g)]]</f>
        <v>1.1789000000000005</v>
      </c>
      <c r="AJ2" s="12">
        <f>Table16[[#This Row],[Dried supernatant (g)]]/Table16[[#This Row],[Total DM (g)]]</f>
        <v>0.67181270676053906</v>
      </c>
      <c r="AK2" s="7">
        <f>(Table16[[#This Row],[Wet pellet (g)]]-Table16[[#This Row],[Dried pellet (g)]])/Table16[[#This Row],[Dried pellet (g)]]</f>
        <v>4.7180149909537263</v>
      </c>
      <c r="AL2" s="7">
        <f>((Table16[[#This Row],[Total DM (g)]])/(Table16[[#This Row],[Powder (g) weighed]]*Table16[[#This Row],[DM%]]/100))*100</f>
        <v>98.67021608266775</v>
      </c>
      <c r="AM2" s="37"/>
      <c r="AO2" s="37"/>
      <c r="AT2" t="s">
        <v>30</v>
      </c>
      <c r="AU2">
        <f t="shared" ref="AU2" si="0">SUM(AA2:AA4)</f>
        <v>89.974400000000003</v>
      </c>
    </row>
    <row r="3" spans="1:47" x14ac:dyDescent="0.25">
      <c r="B3" s="39">
        <v>2</v>
      </c>
      <c r="C3" s="3" t="s">
        <v>65</v>
      </c>
      <c r="D3" s="20">
        <v>91.66</v>
      </c>
      <c r="E3" s="21"/>
      <c r="F3" s="21">
        <v>10.0502</v>
      </c>
      <c r="G3" s="21">
        <v>1.3059000000000001</v>
      </c>
      <c r="H3" s="21">
        <v>2.9397000000000002</v>
      </c>
      <c r="I3" s="21"/>
      <c r="J3" s="21">
        <v>28.690200000000001</v>
      </c>
      <c r="K3" s="8"/>
      <c r="L3" s="8"/>
      <c r="M3" s="8"/>
      <c r="N3" s="8"/>
      <c r="O3" s="21">
        <v>42.983600000000003</v>
      </c>
      <c r="P3" s="21">
        <v>2.1644000000000001</v>
      </c>
      <c r="Q3" s="21">
        <v>29.897500000000001</v>
      </c>
      <c r="R3" s="21"/>
      <c r="S3" s="21">
        <f>(Table16[[#This Row],[Tray + supernatant (g)]]+Table16[[#This Row],[Extra supernatant by pipet (g)]])-Table16[[#This Row],[Empty tray for supernatant (g)]]</f>
        <v>27.7331</v>
      </c>
      <c r="T3" s="21">
        <v>12.299200000000001</v>
      </c>
      <c r="U3" s="21">
        <v>2.9409999999999998</v>
      </c>
      <c r="V3" s="21">
        <v>10.4382</v>
      </c>
      <c r="W3" s="21">
        <v>2.9563999999999999</v>
      </c>
      <c r="X3" s="21">
        <v>2.9340999999999999</v>
      </c>
      <c r="Y3" s="21">
        <f>Table16[[#This Row],[Cap before drying (g)]]-Table16[[#This Row],[Cap (g)]]</f>
        <v>1.2999999999996348E-3</v>
      </c>
      <c r="Z3" s="21">
        <f>Table16[[#This Row],[Cap after drying (g)]]-Table16[[#This Row],[Cap (g)]]</f>
        <v>-5.6000000000002714E-3</v>
      </c>
      <c r="AA3" s="21">
        <f>Table16[[#This Row],[Powder (g) weighed]]+Table16[[#This Row],[Water (g) weighed]]</f>
        <v>29.996100000000002</v>
      </c>
      <c r="AB3" s="21">
        <f>Table16[[#This Row],[Tube + pellet (g)]]-Table16[[#This Row],[Empty tube (g)]]</f>
        <v>2.2490000000000006</v>
      </c>
      <c r="AC3" s="21">
        <f>Table16[[#This Row],[Total supernatant (g)]]</f>
        <v>27.7331</v>
      </c>
      <c r="AD3" s="21">
        <f>Table16[[#This Row],[Tube + dried pellet (g)]]-Table16[[#This Row],[Empty tube (g)]]</f>
        <v>0.3879999999999999</v>
      </c>
      <c r="AE3" s="21">
        <f>Table16[[#This Row],[Tray + dried supernatant (g)]]-Table16[[#This Row],[Empty tray for supernatant (g)]]</f>
        <v>0.79199999999999982</v>
      </c>
      <c r="AF3" s="5">
        <f>Table16[[#This Row],[Wet pellet (g)]]/Table16[[#This Row],[Sample (g)]]</f>
        <v>7.4976413600434735E-2</v>
      </c>
      <c r="AG3" s="5">
        <f>Table16[[#This Row],[Dried pellet (g)]]/Table16[[#This Row],[Wet pellet (g)]]</f>
        <v>0.17252112049799903</v>
      </c>
      <c r="AH3" s="5">
        <f>Table16[[#This Row],[Dried supernatant (g)]]/Table16[[#This Row],[Supernatant (g)]]</f>
        <v>2.855793257875967E-2</v>
      </c>
      <c r="AI3" s="10">
        <f>Table16[[#This Row],[Dried pellet (g)]]+Table16[[#This Row],[Dried supernatant (g)]]</f>
        <v>1.1799999999999997</v>
      </c>
      <c r="AJ3" s="12">
        <f>Table16[[#This Row],[Dried supernatant (g)]]/Table16[[#This Row],[Total DM (g)]]</f>
        <v>0.67118644067796607</v>
      </c>
      <c r="AK3" s="7">
        <f>(Table16[[#This Row],[Wet pellet (g)]]-Table16[[#This Row],[Dried pellet (g)]])/Table16[[#This Row],[Dried pellet (g)]]</f>
        <v>4.7963917525773221</v>
      </c>
      <c r="AL3" s="7">
        <f>((Table16[[#This Row],[Total DM (g)]])/(Table16[[#This Row],[Powder (g) weighed]]*Table16[[#This Row],[DM%]]/100))*100</f>
        <v>98.580776010157606</v>
      </c>
      <c r="AM3" s="37"/>
      <c r="AO3" t="str">
        <f>C2</f>
        <v>Faba concentrate FB NT - F NTm20z4F8</v>
      </c>
      <c r="AP3" s="13">
        <f t="shared" ref="AP3" si="1">AVERAGE(AJ2:AJ4)</f>
        <v>0.67077305253341546</v>
      </c>
      <c r="AQ3" s="14">
        <f t="shared" ref="AQ3" si="2">_xlfn.STDEV.P(AJ2:AJ4)</f>
        <v>1.0587890573529812E-3</v>
      </c>
      <c r="AR3" s="4">
        <f t="shared" ref="AR3" si="3">AVERAGE(AK2:AK4)</f>
        <v>4.785980224796309</v>
      </c>
      <c r="AS3" s="4">
        <f t="shared" ref="AS3" si="4">_xlfn.STDEV.P(AK2:AK4)</f>
        <v>5.1769044815840187E-2</v>
      </c>
      <c r="AT3" t="s">
        <v>31</v>
      </c>
      <c r="AU3">
        <f t="shared" ref="AU3" si="5">SUM(AI2:AI4)</f>
        <v>3.5397999999999996</v>
      </c>
    </row>
    <row r="4" spans="1:47" x14ac:dyDescent="0.25">
      <c r="B4" s="39">
        <v>3</v>
      </c>
      <c r="C4" s="3" t="s">
        <v>66</v>
      </c>
      <c r="D4" s="20">
        <v>91.66</v>
      </c>
      <c r="E4" s="21"/>
      <c r="F4" s="21">
        <v>10.169700000000001</v>
      </c>
      <c r="G4" s="21">
        <v>1.3044</v>
      </c>
      <c r="H4" s="21">
        <v>2.9178999999999999</v>
      </c>
      <c r="I4" s="21"/>
      <c r="J4" s="21">
        <v>28.688400000000001</v>
      </c>
      <c r="K4" s="8"/>
      <c r="L4" s="8"/>
      <c r="M4" s="8"/>
      <c r="N4" s="8"/>
      <c r="O4" s="21">
        <v>43.080300000000001</v>
      </c>
      <c r="P4" s="21">
        <v>2.1619999999999999</v>
      </c>
      <c r="Q4" s="21">
        <v>29.865100000000002</v>
      </c>
      <c r="R4" s="21"/>
      <c r="S4" s="21">
        <f>(Table16[[#This Row],[Tray + supernatant (g)]]+Table16[[#This Row],[Extra supernatant by pipet (g)]])-Table16[[#This Row],[Empty tray for supernatant (g)]]</f>
        <v>27.703100000000003</v>
      </c>
      <c r="T4" s="21">
        <v>12.451599999999999</v>
      </c>
      <c r="U4" s="21">
        <v>2.9184000000000001</v>
      </c>
      <c r="V4" s="21">
        <v>10.5602</v>
      </c>
      <c r="W4" s="21">
        <v>2.9523999999999999</v>
      </c>
      <c r="X4" s="21">
        <v>2.9123999999999999</v>
      </c>
      <c r="Y4" s="21">
        <f>Table16[[#This Row],[Cap before drying (g)]]-Table16[[#This Row],[Cap (g)]]</f>
        <v>5.0000000000016698E-4</v>
      </c>
      <c r="Z4" s="21">
        <f>Table16[[#This Row],[Cap after drying (g)]]-Table16[[#This Row],[Cap (g)]]</f>
        <v>-5.5000000000000604E-3</v>
      </c>
      <c r="AA4" s="21">
        <f>Table16[[#This Row],[Powder (g) weighed]]+Table16[[#This Row],[Water (g) weighed]]</f>
        <v>29.992800000000003</v>
      </c>
      <c r="AB4" s="21">
        <f>Table16[[#This Row],[Tube + pellet (g)]]-Table16[[#This Row],[Empty tube (g)]]</f>
        <v>2.2818999999999985</v>
      </c>
      <c r="AC4" s="21">
        <f>Table16[[#This Row],[Total supernatant (g)]]</f>
        <v>27.703100000000003</v>
      </c>
      <c r="AD4" s="21">
        <f>Table16[[#This Row],[Tube + dried pellet (g)]]-Table16[[#This Row],[Empty tube (g)]]</f>
        <v>0.3904999999999994</v>
      </c>
      <c r="AE4" s="21">
        <f>Table16[[#This Row],[Tray + dried supernatant (g)]]-Table16[[#This Row],[Empty tray for supernatant (g)]]</f>
        <v>0.79039999999999999</v>
      </c>
      <c r="AF4" s="5">
        <f>Table16[[#This Row],[Wet pellet (g)]]/Table16[[#This Row],[Sample (g)]]</f>
        <v>7.6081592915633031E-2</v>
      </c>
      <c r="AG4" s="5">
        <f>Table16[[#This Row],[Dried pellet (g)]]/Table16[[#This Row],[Wet pellet (g)]]</f>
        <v>0.17112932205618112</v>
      </c>
      <c r="AH4" s="5">
        <f>Table16[[#This Row],[Dried supernatant (g)]]/Table16[[#This Row],[Supernatant (g)]]</f>
        <v>2.8531103017351844E-2</v>
      </c>
      <c r="AI4" s="10">
        <f>Table16[[#This Row],[Dried pellet (g)]]+Table16[[#This Row],[Dried supernatant (g)]]</f>
        <v>1.1808999999999994</v>
      </c>
      <c r="AJ4" s="12">
        <f>Table16[[#This Row],[Dried supernatant (g)]]/Table16[[#This Row],[Total DM (g)]]</f>
        <v>0.66932001016174136</v>
      </c>
      <c r="AK4" s="7">
        <f>(Table16[[#This Row],[Wet pellet (g)]]-Table16[[#This Row],[Dried pellet (g)]])/Table16[[#This Row],[Dried pellet (g)]]</f>
        <v>4.8435339308578795</v>
      </c>
      <c r="AL4" s="7">
        <f>((Table16[[#This Row],[Total DM (g)]])/(Table16[[#This Row],[Powder (g) weighed]]*Table16[[#This Row],[DM%]]/100))*100</f>
        <v>98.769414559078356</v>
      </c>
      <c r="AM4" s="37"/>
      <c r="AO4" s="37"/>
      <c r="AT4" t="s">
        <v>32</v>
      </c>
      <c r="AU4" s="15">
        <f t="shared" ref="AU4" si="6">AU3/AU2</f>
        <v>3.9342301810292697E-2</v>
      </c>
    </row>
    <row r="5" spans="1:47" x14ac:dyDescent="0.25">
      <c r="A5" s="39">
        <v>38</v>
      </c>
      <c r="B5" s="39">
        <v>1</v>
      </c>
      <c r="C5" s="3" t="s">
        <v>56</v>
      </c>
      <c r="D5" s="20">
        <v>93.18</v>
      </c>
      <c r="E5" s="21">
        <f>(4/Table16[[#This Row],[DM%]])*30</f>
        <v>1.2878300064391499</v>
      </c>
      <c r="F5" s="21">
        <v>10.2729</v>
      </c>
      <c r="G5" s="21">
        <v>1.2846</v>
      </c>
      <c r="H5" s="21">
        <v>3.0152999999999999</v>
      </c>
      <c r="I5" s="21">
        <f>30-Table16[[#This Row],[Powder (g) for 100g 4% DM w/w]]</f>
        <v>28.712169993560849</v>
      </c>
      <c r="J5" s="21">
        <v>28.704499999999999</v>
      </c>
      <c r="K5" s="8">
        <v>6.67</v>
      </c>
      <c r="L5" s="8"/>
      <c r="M5" s="8"/>
      <c r="N5" s="8"/>
      <c r="O5" s="21">
        <v>43.201099999999997</v>
      </c>
      <c r="P5" s="21">
        <v>2.1642000000000001</v>
      </c>
      <c r="Q5" s="21">
        <v>29.430900000000001</v>
      </c>
      <c r="R5" s="41">
        <v>7.6200000000000004E-2</v>
      </c>
      <c r="S5" s="21">
        <f>(Table16[[#This Row],[Tray + supernatant (g)]]+Table16[[#This Row],[Extra supernatant by pipet (g)]])-Table16[[#This Row],[Empty tray for supernatant (g)]]</f>
        <v>27.3429</v>
      </c>
      <c r="T5" s="21">
        <v>12.8217</v>
      </c>
      <c r="U5" s="21">
        <v>3.0158999999999998</v>
      </c>
      <c r="V5" s="21">
        <v>10.795999999999999</v>
      </c>
      <c r="W5" s="21">
        <v>2.8252999999999999</v>
      </c>
      <c r="X5" s="21">
        <v>3.0103</v>
      </c>
      <c r="Y5" s="21">
        <f>Table16[[#This Row],[Cap before drying (g)]]-Table16[[#This Row],[Cap (g)]]</f>
        <v>5.9999999999993392E-4</v>
      </c>
      <c r="Z5" s="21">
        <f>Table16[[#This Row],[Cap after drying (g)]]-Table16[[#This Row],[Cap (g)]]</f>
        <v>-4.9999999999998934E-3</v>
      </c>
      <c r="AA5" s="21">
        <f>Table16[[#This Row],[Powder (g) weighed]]+Table16[[#This Row],[Water (g) weighed]]</f>
        <v>29.989100000000001</v>
      </c>
      <c r="AB5" s="21">
        <f>Table16[[#This Row],[Tube + pellet (g)]]-Table16[[#This Row],[Empty tube (g)]]</f>
        <v>2.5488</v>
      </c>
      <c r="AC5" s="21">
        <f>Table16[[#This Row],[Total supernatant (g)]]</f>
        <v>27.3429</v>
      </c>
      <c r="AD5" s="21">
        <f>Table16[[#This Row],[Tube + dried pellet (g)]]-Table16[[#This Row],[Empty tube (g)]]</f>
        <v>0.52309999999999945</v>
      </c>
      <c r="AE5" s="21">
        <f>Table16[[#This Row],[Tray + dried supernatant (g)]]-Table16[[#This Row],[Empty tray for supernatant (g)]]</f>
        <v>0.6610999999999998</v>
      </c>
      <c r="AF5" s="5">
        <f>Table16[[#This Row],[Wet pellet (g)]]/Table16[[#This Row],[Sample (g)]]</f>
        <v>8.4990880019740506E-2</v>
      </c>
      <c r="AG5" s="5">
        <f>Table16[[#This Row],[Dried pellet (g)]]/Table16[[#This Row],[Wet pellet (g)]]</f>
        <v>0.2052338355304455</v>
      </c>
      <c r="AH5" s="5">
        <f>Table16[[#This Row],[Dried supernatant (g)]]/Table16[[#This Row],[Supernatant (g)]]</f>
        <v>2.4178123022795671E-2</v>
      </c>
      <c r="AI5" s="10">
        <f>Table16[[#This Row],[Dried pellet (g)]]+Table16[[#This Row],[Dried supernatant (g)]]</f>
        <v>1.1841999999999993</v>
      </c>
      <c r="AJ5" s="12">
        <f>Table16[[#This Row],[Dried supernatant (g)]]/Table16[[#This Row],[Total DM (g)]]</f>
        <v>0.5582671845971966</v>
      </c>
      <c r="AK5" s="7">
        <f>(Table16[[#This Row],[Wet pellet (g)]]-Table16[[#This Row],[Dried pellet (g)]])/Table16[[#This Row],[Dried pellet (g)]]</f>
        <v>3.8724909195182615</v>
      </c>
      <c r="AL5" s="7">
        <f>((Table16[[#This Row],[Total DM (g)]])/(Table16[[#This Row],[Powder (g) weighed]]*Table16[[#This Row],[DM%]]/100))*100</f>
        <v>98.931463336527614</v>
      </c>
      <c r="AM5" s="37"/>
      <c r="AO5" s="37"/>
      <c r="AT5" t="s">
        <v>30</v>
      </c>
      <c r="AU5">
        <f t="shared" ref="AU5" si="7">SUM(AA5:AA7)</f>
        <v>90.018300000000011</v>
      </c>
    </row>
    <row r="6" spans="1:47" x14ac:dyDescent="0.25">
      <c r="B6" s="39">
        <v>2</v>
      </c>
      <c r="C6" s="3" t="s">
        <v>67</v>
      </c>
      <c r="D6" s="20">
        <v>93.18</v>
      </c>
      <c r="E6" s="21"/>
      <c r="F6" s="21">
        <v>10.0509</v>
      </c>
      <c r="G6" s="21">
        <v>1.29</v>
      </c>
      <c r="H6" s="21">
        <v>2.9567000000000001</v>
      </c>
      <c r="I6" s="21"/>
      <c r="J6" s="21">
        <v>28.7317</v>
      </c>
      <c r="K6" s="8"/>
      <c r="L6" s="8"/>
      <c r="M6" s="8"/>
      <c r="N6" s="8"/>
      <c r="O6" s="21">
        <v>43.027900000000002</v>
      </c>
      <c r="P6" s="21">
        <v>2.1829000000000001</v>
      </c>
      <c r="Q6" s="21">
        <v>29.534500000000001</v>
      </c>
      <c r="R6" s="41">
        <v>6.4399999999999999E-2</v>
      </c>
      <c r="S6" s="21">
        <f>(Table16[[#This Row],[Tray + supernatant (g)]]+Table16[[#This Row],[Extra supernatant by pipet (g)]])-Table16[[#This Row],[Empty tray for supernatant (g)]]</f>
        <v>27.416</v>
      </c>
      <c r="T6" s="21">
        <v>12.634499999999999</v>
      </c>
      <c r="U6" s="21">
        <v>2.9580000000000002</v>
      </c>
      <c r="V6" s="21">
        <v>10.576700000000001</v>
      </c>
      <c r="W6" s="21">
        <v>2.8469000000000002</v>
      </c>
      <c r="X6" s="21">
        <v>2.9506000000000001</v>
      </c>
      <c r="Y6" s="21">
        <f>Table16[[#This Row],[Cap before drying (g)]]-Table16[[#This Row],[Cap (g)]]</f>
        <v>1.3000000000000789E-3</v>
      </c>
      <c r="Z6" s="21">
        <f>Table16[[#This Row],[Cap after drying (g)]]-Table16[[#This Row],[Cap (g)]]</f>
        <v>-6.0999999999999943E-3</v>
      </c>
      <c r="AA6" s="21">
        <f>Table16[[#This Row],[Powder (g) weighed]]+Table16[[#This Row],[Water (g) weighed]]</f>
        <v>30.021699999999999</v>
      </c>
      <c r="AB6" s="21">
        <f>Table16[[#This Row],[Tube + pellet (g)]]-Table16[[#This Row],[Empty tube (g)]]</f>
        <v>2.5835999999999988</v>
      </c>
      <c r="AC6" s="21">
        <f>Table16[[#This Row],[Total supernatant (g)]]</f>
        <v>27.416</v>
      </c>
      <c r="AD6" s="21">
        <f>Table16[[#This Row],[Tube + dried pellet (g)]]-Table16[[#This Row],[Empty tube (g)]]</f>
        <v>0.52580000000000027</v>
      </c>
      <c r="AE6" s="21">
        <f>Table16[[#This Row],[Tray + dried supernatant (g)]]-Table16[[#This Row],[Empty tray for supernatant (g)]]</f>
        <v>0.66400000000000015</v>
      </c>
      <c r="AF6" s="5">
        <f>Table16[[#This Row],[Wet pellet (g)]]/Table16[[#This Row],[Sample (g)]]</f>
        <v>8.6057751559705103E-2</v>
      </c>
      <c r="AG6" s="5">
        <f>Table16[[#This Row],[Dried pellet (g)]]/Table16[[#This Row],[Wet pellet (g)]]</f>
        <v>0.203514475925066</v>
      </c>
      <c r="AH6" s="5">
        <f>Table16[[#This Row],[Dried supernatant (g)]]/Table16[[#This Row],[Supernatant (g)]]</f>
        <v>2.4219433907207474E-2</v>
      </c>
      <c r="AI6" s="10">
        <f>Table16[[#This Row],[Dried pellet (g)]]+Table16[[#This Row],[Dried supernatant (g)]]</f>
        <v>1.1898000000000004</v>
      </c>
      <c r="AJ6" s="12">
        <f>Table16[[#This Row],[Dried supernatant (g)]]/Table16[[#This Row],[Total DM (g)]]</f>
        <v>0.55807698772903003</v>
      </c>
      <c r="AK6" s="7">
        <f>(Table16[[#This Row],[Wet pellet (g)]]-Table16[[#This Row],[Dried pellet (g)]])/Table16[[#This Row],[Dried pellet (g)]]</f>
        <v>3.9136553822746243</v>
      </c>
      <c r="AL6" s="7">
        <f>((Table16[[#This Row],[Total DM (g)]])/(Table16[[#This Row],[Powder (g) weighed]]*Table16[[#This Row],[DM%]]/100))*100</f>
        <v>98.983213285613758</v>
      </c>
      <c r="AM6" s="37"/>
      <c r="AO6" t="str">
        <f>C5</f>
        <v>Faba concentrate F T - F SHS30 m20z4F8</v>
      </c>
      <c r="AP6" s="13">
        <f t="shared" ref="AP6" si="8">AVERAGE(AJ5:AJ7)</f>
        <v>0.55828374450775586</v>
      </c>
      <c r="AQ6" s="14">
        <f t="shared" ref="AQ6" si="9">_xlfn.STDEV.P(AJ5:AJ7)</f>
        <v>1.759667960157293E-4</v>
      </c>
      <c r="AR6" s="4">
        <f t="shared" ref="AR6" si="10">AVERAGE(AK5:AK7)</f>
        <v>3.8933003539614268</v>
      </c>
      <c r="AS6" s="4">
        <f t="shared" ref="AS6" si="11">_xlfn.STDEV.P(AK5:AK7)</f>
        <v>1.6808392986902079E-2</v>
      </c>
      <c r="AT6" t="s">
        <v>31</v>
      </c>
      <c r="AU6">
        <f t="shared" ref="AU6" si="12">SUM(AI5:AI7)</f>
        <v>3.5635999999999997</v>
      </c>
    </row>
    <row r="7" spans="1:47" x14ac:dyDescent="0.25">
      <c r="B7" s="39">
        <v>3</v>
      </c>
      <c r="C7" s="3" t="s">
        <v>68</v>
      </c>
      <c r="D7" s="20">
        <v>93.18</v>
      </c>
      <c r="E7" s="21"/>
      <c r="F7" s="21">
        <v>10.2193</v>
      </c>
      <c r="G7" s="21">
        <v>1.2870999999999999</v>
      </c>
      <c r="H7" s="21">
        <v>2.9497</v>
      </c>
      <c r="I7" s="21"/>
      <c r="J7" s="21">
        <v>28.720400000000001</v>
      </c>
      <c r="K7" s="8"/>
      <c r="L7" s="8"/>
      <c r="M7" s="8"/>
      <c r="N7" s="8"/>
      <c r="O7" s="21">
        <v>43.174999999999997</v>
      </c>
      <c r="P7" s="21">
        <v>2.1732999999999998</v>
      </c>
      <c r="Q7" s="21">
        <v>29.4815</v>
      </c>
      <c r="R7" s="41">
        <v>0.1072</v>
      </c>
      <c r="S7" s="21">
        <f>(Table16[[#This Row],[Tray + supernatant (g)]]+Table16[[#This Row],[Extra supernatant by pipet (g)]])-Table16[[#This Row],[Empty tray for supernatant (g)]]</f>
        <v>27.415399999999998</v>
      </c>
      <c r="T7" s="21">
        <v>12.7895</v>
      </c>
      <c r="U7" s="21">
        <v>2.9512999999999998</v>
      </c>
      <c r="V7" s="21">
        <v>10.7445</v>
      </c>
      <c r="W7" s="21">
        <v>2.8376999999999999</v>
      </c>
      <c r="X7" s="21">
        <v>2.944</v>
      </c>
      <c r="Y7" s="21">
        <f>Table16[[#This Row],[Cap before drying (g)]]-Table16[[#This Row],[Cap (g)]]</f>
        <v>1.5999999999998238E-3</v>
      </c>
      <c r="Z7" s="21">
        <f>Table16[[#This Row],[Cap after drying (g)]]-Table16[[#This Row],[Cap (g)]]</f>
        <v>-5.7000000000000384E-3</v>
      </c>
      <c r="AA7" s="21">
        <f>Table16[[#This Row],[Powder (g) weighed]]+Table16[[#This Row],[Water (g) weighed]]</f>
        <v>30.0075</v>
      </c>
      <c r="AB7" s="21">
        <f>Table16[[#This Row],[Tube + pellet (g)]]-Table16[[#This Row],[Empty tube (g)]]</f>
        <v>2.5701999999999998</v>
      </c>
      <c r="AC7" s="21">
        <f>Table16[[#This Row],[Total supernatant (g)]]</f>
        <v>27.415399999999998</v>
      </c>
      <c r="AD7" s="21">
        <f>Table16[[#This Row],[Tube + dried pellet (g)]]-Table16[[#This Row],[Empty tube (g)]]</f>
        <v>0.52519999999999989</v>
      </c>
      <c r="AE7" s="21">
        <f>Table16[[#This Row],[Tray + dried supernatant (g)]]-Table16[[#This Row],[Empty tray for supernatant (g)]]</f>
        <v>0.6644000000000001</v>
      </c>
      <c r="AF7" s="5">
        <f>Table16[[#This Row],[Wet pellet (g)]]/Table16[[#This Row],[Sample (g)]]</f>
        <v>8.5651920353245009E-2</v>
      </c>
      <c r="AG7" s="5">
        <f>Table16[[#This Row],[Dried pellet (g)]]/Table16[[#This Row],[Wet pellet (g)]]</f>
        <v>0.20434207454672784</v>
      </c>
      <c r="AH7" s="5">
        <f>Table16[[#This Row],[Dried supernatant (g)]]/Table16[[#This Row],[Supernatant (g)]]</f>
        <v>2.4234554301596919E-2</v>
      </c>
      <c r="AI7" s="10">
        <f>Table16[[#This Row],[Dried pellet (g)]]+Table16[[#This Row],[Dried supernatant (g)]]</f>
        <v>1.1896</v>
      </c>
      <c r="AJ7" s="12">
        <f>Table16[[#This Row],[Dried supernatant (g)]]/Table16[[#This Row],[Total DM (g)]]</f>
        <v>0.55850706119704108</v>
      </c>
      <c r="AK7" s="7">
        <f>(Table16[[#This Row],[Wet pellet (g)]]-Table16[[#This Row],[Dried pellet (g)]])/Table16[[#This Row],[Dried pellet (g)]]</f>
        <v>3.8937547600913947</v>
      </c>
      <c r="AL7" s="7">
        <f>((Table16[[#This Row],[Total DM (g)]])/(Table16[[#This Row],[Powder (g) weighed]]*Table16[[#This Row],[DM%]]/100))*100</f>
        <v>99.189558934815537</v>
      </c>
      <c r="AM7" s="37"/>
      <c r="AO7" s="37"/>
      <c r="AT7" t="s">
        <v>32</v>
      </c>
      <c r="AU7" s="15">
        <f t="shared" ref="AU7" si="13">AU6/AU5</f>
        <v>3.9587506095982695E-2</v>
      </c>
    </row>
    <row r="8" spans="1:47" x14ac:dyDescent="0.25">
      <c r="A8" s="39">
        <v>39</v>
      </c>
      <c r="B8" s="39">
        <v>1</v>
      </c>
      <c r="C8" s="3" t="s">
        <v>58</v>
      </c>
      <c r="D8" s="20">
        <v>96.38</v>
      </c>
      <c r="E8" s="21">
        <f>(4/Table16[[#This Row],[DM%]])*30</f>
        <v>1.245071591616518</v>
      </c>
      <c r="F8" s="21">
        <v>10.214</v>
      </c>
      <c r="G8" s="21">
        <v>1.2452000000000001</v>
      </c>
      <c r="H8" s="21">
        <v>2.9125000000000001</v>
      </c>
      <c r="I8" s="21">
        <f>30-Table16[[#This Row],[Powder (g) for 100g 4% DM w/w]]</f>
        <v>28.754928408383481</v>
      </c>
      <c r="J8" s="21">
        <v>28.7803</v>
      </c>
      <c r="K8" s="8">
        <v>6.5</v>
      </c>
      <c r="L8" s="8"/>
      <c r="M8" s="8"/>
      <c r="N8" s="8"/>
      <c r="O8" s="21">
        <v>43.104300000000002</v>
      </c>
      <c r="P8" s="21">
        <v>2.1823000000000001</v>
      </c>
      <c r="Q8" s="21">
        <v>29.652100000000001</v>
      </c>
      <c r="R8" s="21"/>
      <c r="S8" s="21">
        <f>(Table16[[#This Row],[Tray + supernatant (g)]]+Table16[[#This Row],[Extra supernatant by pipet (g)]])-Table16[[#This Row],[Empty tray for supernatant (g)]]</f>
        <v>27.469799999999999</v>
      </c>
      <c r="T8" s="21">
        <v>12.711</v>
      </c>
      <c r="U8" s="21">
        <v>2.9129999999999998</v>
      </c>
      <c r="V8" s="21">
        <v>10.634399999999999</v>
      </c>
      <c r="W8" s="21">
        <v>2.9458000000000002</v>
      </c>
      <c r="X8" s="21">
        <v>2.9064999999999999</v>
      </c>
      <c r="Y8" s="21">
        <f>Table16[[#This Row],[Cap before drying (g)]]-Table16[[#This Row],[Cap (g)]]</f>
        <v>4.9999999999972289E-4</v>
      </c>
      <c r="Z8" s="21">
        <f>Table16[[#This Row],[Cap after drying (g)]]-Table16[[#This Row],[Cap (g)]]</f>
        <v>-6.0000000000002274E-3</v>
      </c>
      <c r="AA8" s="21">
        <f>Table16[[#This Row],[Powder (g) weighed]]+Table16[[#This Row],[Water (g) weighed]]</f>
        <v>30.025500000000001</v>
      </c>
      <c r="AB8" s="21">
        <f>Table16[[#This Row],[Tube + pellet (g)]]-Table16[[#This Row],[Empty tube (g)]]</f>
        <v>2.4969999999999999</v>
      </c>
      <c r="AC8" s="21">
        <f>Table16[[#This Row],[Total supernatant (g)]]</f>
        <v>27.469799999999999</v>
      </c>
      <c r="AD8" s="21">
        <f>Table16[[#This Row],[Tube + dried pellet (g)]]-Table16[[#This Row],[Empty tube (g)]]</f>
        <v>0.420399999999999</v>
      </c>
      <c r="AE8" s="21">
        <f>Table16[[#This Row],[Tray + dried supernatant (g)]]-Table16[[#This Row],[Empty tray for supernatant (g)]]</f>
        <v>0.76350000000000007</v>
      </c>
      <c r="AF8" s="5">
        <f>Table16[[#This Row],[Wet pellet (g)]]/Table16[[#This Row],[Sample (g)]]</f>
        <v>8.3162645085011061E-2</v>
      </c>
      <c r="AG8" s="5">
        <f>Table16[[#This Row],[Dried pellet (g)]]/Table16[[#This Row],[Wet pellet (g)]]</f>
        <v>0.16836203444132919</v>
      </c>
      <c r="AH8" s="5">
        <f>Table16[[#This Row],[Dried supernatant (g)]]/Table16[[#This Row],[Supernatant (g)]]</f>
        <v>2.7794159404145646E-2</v>
      </c>
      <c r="AI8" s="10">
        <f>Table16[[#This Row],[Dried pellet (g)]]+Table16[[#This Row],[Dried supernatant (g)]]</f>
        <v>1.1838999999999991</v>
      </c>
      <c r="AJ8" s="12">
        <f>Table16[[#This Row],[Dried supernatant (g)]]/Table16[[#This Row],[Total DM (g)]]</f>
        <v>0.64490244108455164</v>
      </c>
      <c r="AK8" s="7">
        <f>(Table16[[#This Row],[Wet pellet (g)]]-Table16[[#This Row],[Dried pellet (g)]])/Table16[[#This Row],[Dried pellet (g)]]</f>
        <v>4.9395813510942101</v>
      </c>
      <c r="AL8" s="7">
        <f>((Table16[[#This Row],[Total DM (g)]])/(Table16[[#This Row],[Powder (g) weighed]]*Table16[[#This Row],[DM%]]/100))*100</f>
        <v>98.648159419825092</v>
      </c>
      <c r="AM8" s="37"/>
      <c r="AO8" s="37"/>
      <c r="AT8" t="s">
        <v>30</v>
      </c>
      <c r="AU8">
        <f t="shared" ref="AU8" si="14">SUM(AA8:AA10)</f>
        <v>90.038299999999992</v>
      </c>
    </row>
    <row r="9" spans="1:47" x14ac:dyDescent="0.25">
      <c r="B9" s="39">
        <v>2</v>
      </c>
      <c r="C9" s="3" t="s">
        <v>69</v>
      </c>
      <c r="D9" s="20">
        <v>96.38</v>
      </c>
      <c r="E9" s="21"/>
      <c r="F9" s="21">
        <v>10.2043</v>
      </c>
      <c r="G9" s="21">
        <v>1.2435</v>
      </c>
      <c r="H9" s="21">
        <v>3.0232000000000001</v>
      </c>
      <c r="I9" s="21"/>
      <c r="J9" s="21">
        <v>28.7575</v>
      </c>
      <c r="K9" s="8"/>
      <c r="L9" s="8"/>
      <c r="M9" s="8"/>
      <c r="N9" s="8"/>
      <c r="O9" s="21">
        <v>43.225499999999997</v>
      </c>
      <c r="P9" s="21">
        <v>2.1732999999999998</v>
      </c>
      <c r="Q9" s="21">
        <v>29.598299999999998</v>
      </c>
      <c r="R9" s="21"/>
      <c r="S9" s="21">
        <f>(Table16[[#This Row],[Tray + supernatant (g)]]+Table16[[#This Row],[Extra supernatant by pipet (g)]])-Table16[[#This Row],[Empty tray for supernatant (g)]]</f>
        <v>27.424999999999997</v>
      </c>
      <c r="T9" s="21">
        <v>12.761900000000001</v>
      </c>
      <c r="U9" s="21">
        <v>3.0247000000000002</v>
      </c>
      <c r="V9" s="21">
        <v>10.6252</v>
      </c>
      <c r="W9" s="21">
        <v>2.9359999999999999</v>
      </c>
      <c r="X9" s="21">
        <v>3.0179999999999998</v>
      </c>
      <c r="Y9" s="21">
        <f>Table16[[#This Row],[Cap before drying (g)]]-Table16[[#This Row],[Cap (g)]]</f>
        <v>1.5000000000000568E-3</v>
      </c>
      <c r="Z9" s="21">
        <f>Table16[[#This Row],[Cap after drying (g)]]-Table16[[#This Row],[Cap (g)]]</f>
        <v>-5.2000000000003155E-3</v>
      </c>
      <c r="AA9" s="21">
        <f>Table16[[#This Row],[Powder (g) weighed]]+Table16[[#This Row],[Water (g) weighed]]</f>
        <v>30.001000000000001</v>
      </c>
      <c r="AB9" s="21">
        <f>Table16[[#This Row],[Tube + pellet (g)]]-Table16[[#This Row],[Empty tube (g)]]</f>
        <v>2.5576000000000008</v>
      </c>
      <c r="AC9" s="21">
        <f>Table16[[#This Row],[Total supernatant (g)]]</f>
        <v>27.424999999999997</v>
      </c>
      <c r="AD9" s="21">
        <f>Table16[[#This Row],[Tube + dried pellet (g)]]-Table16[[#This Row],[Empty tube (g)]]</f>
        <v>0.42089999999999961</v>
      </c>
      <c r="AE9" s="21">
        <f>Table16[[#This Row],[Tray + dried supernatant (g)]]-Table16[[#This Row],[Empty tray for supernatant (g)]]</f>
        <v>0.76270000000000016</v>
      </c>
      <c r="AF9" s="5">
        <f>Table16[[#This Row],[Wet pellet (g)]]/Table16[[#This Row],[Sample (g)]]</f>
        <v>8.5250491650278343E-2</v>
      </c>
      <c r="AG9" s="5">
        <f>Table16[[#This Row],[Dried pellet (g)]]/Table16[[#This Row],[Wet pellet (g)]]</f>
        <v>0.16456834532374082</v>
      </c>
      <c r="AH9" s="5">
        <f>Table16[[#This Row],[Dried supernatant (g)]]/Table16[[#This Row],[Supernatant (g)]]</f>
        <v>2.781039197812216E-2</v>
      </c>
      <c r="AI9" s="10">
        <f>Table16[[#This Row],[Dried pellet (g)]]+Table16[[#This Row],[Dried supernatant (g)]]</f>
        <v>1.1835999999999998</v>
      </c>
      <c r="AJ9" s="12">
        <f>Table16[[#This Row],[Dried supernatant (g)]]/Table16[[#This Row],[Total DM (g)]]</f>
        <v>0.64438999662048013</v>
      </c>
      <c r="AK9" s="7">
        <f>(Table16[[#This Row],[Wet pellet (g)]]-Table16[[#This Row],[Dried pellet (g)]])/Table16[[#This Row],[Dried pellet (g)]]</f>
        <v>5.0765027322404448</v>
      </c>
      <c r="AL9" s="7">
        <f>((Table16[[#This Row],[Total DM (g)]])/(Table16[[#This Row],[Powder (g) weighed]]*Table16[[#This Row],[DM%]]/100))*100</f>
        <v>98.757990606976975</v>
      </c>
      <c r="AM9" s="37"/>
      <c r="AO9" t="str">
        <f>C8</f>
        <v>Faba concentrate FB NT DH120 - F NT m20z4F8 H120</v>
      </c>
      <c r="AP9" s="13">
        <f t="shared" ref="AP9" si="15">AVERAGE(AJ8:AJ10)</f>
        <v>0.64204602886189732</v>
      </c>
      <c r="AQ9" s="14">
        <f t="shared" ref="AQ9" si="16">_xlfn.STDEV.P(AJ8:AJ10)</f>
        <v>3.6831701738338956E-3</v>
      </c>
      <c r="AR9" s="4">
        <f t="shared" ref="AR9" si="17">AVERAGE(AK8:AK10)</f>
        <v>5.0079878578284323</v>
      </c>
      <c r="AS9" s="4">
        <f t="shared" ref="AS9" si="18">_xlfn.STDEV.P(AK8:AK10)</f>
        <v>5.5897972303196035E-2</v>
      </c>
      <c r="AT9" t="s">
        <v>31</v>
      </c>
      <c r="AU9">
        <f t="shared" ref="AU9" si="19">SUM(AI8:AI10)</f>
        <v>3.5556999999999985</v>
      </c>
    </row>
    <row r="10" spans="1:47" x14ac:dyDescent="0.25">
      <c r="B10" s="39">
        <v>3</v>
      </c>
      <c r="C10" s="3" t="s">
        <v>70</v>
      </c>
      <c r="D10" s="20">
        <v>96.38</v>
      </c>
      <c r="E10" s="21"/>
      <c r="F10" s="21">
        <v>10.311999999999999</v>
      </c>
      <c r="G10" s="21">
        <v>1.2472000000000001</v>
      </c>
      <c r="H10" s="21">
        <v>2.9375</v>
      </c>
      <c r="I10" s="21"/>
      <c r="J10" s="21">
        <v>28.764599999999998</v>
      </c>
      <c r="K10" s="8"/>
      <c r="L10" s="8"/>
      <c r="M10" s="8"/>
      <c r="N10" s="8"/>
      <c r="O10" s="21">
        <v>43.249299999999998</v>
      </c>
      <c r="P10" s="21">
        <v>2.177</v>
      </c>
      <c r="Q10" s="21">
        <v>29.577500000000001</v>
      </c>
      <c r="R10" s="21"/>
      <c r="S10" s="21">
        <f>(Table16[[#This Row],[Tray + supernatant (g)]]+Table16[[#This Row],[Extra supernatant by pipet (g)]])-Table16[[#This Row],[Empty tray for supernatant (g)]]</f>
        <v>27.400500000000001</v>
      </c>
      <c r="T10" s="21">
        <v>12.904400000000001</v>
      </c>
      <c r="U10" s="21">
        <v>2.9384999999999999</v>
      </c>
      <c r="V10" s="21">
        <v>10.743499999999999</v>
      </c>
      <c r="W10" s="21">
        <v>2.9337</v>
      </c>
      <c r="X10" s="21">
        <v>2.9325999999999999</v>
      </c>
      <c r="Y10" s="21">
        <f>Table16[[#This Row],[Cap before drying (g)]]-Table16[[#This Row],[Cap (g)]]</f>
        <v>9.9999999999988987E-4</v>
      </c>
      <c r="Z10" s="21">
        <f>Table16[[#This Row],[Cap after drying (g)]]-Table16[[#This Row],[Cap (g)]]</f>
        <v>-4.9000000000001265E-3</v>
      </c>
      <c r="AA10" s="21">
        <f>Table16[[#This Row],[Powder (g) weighed]]+Table16[[#This Row],[Water (g) weighed]]</f>
        <v>30.011799999999997</v>
      </c>
      <c r="AB10" s="21">
        <f>Table16[[#This Row],[Tube + pellet (g)]]-Table16[[#This Row],[Empty tube (g)]]</f>
        <v>2.5924000000000014</v>
      </c>
      <c r="AC10" s="21">
        <f>Table16[[#This Row],[Total supernatant (g)]]</f>
        <v>27.400500000000001</v>
      </c>
      <c r="AD10" s="21">
        <f>Table16[[#This Row],[Tube + dried pellet (g)]]-Table16[[#This Row],[Empty tube (g)]]</f>
        <v>0.43149999999999977</v>
      </c>
      <c r="AE10" s="21">
        <f>Table16[[#This Row],[Tray + dried supernatant (g)]]-Table16[[#This Row],[Empty tray for supernatant (g)]]</f>
        <v>0.75669999999999993</v>
      </c>
      <c r="AF10" s="5">
        <f>Table16[[#This Row],[Wet pellet (g)]]/Table16[[#This Row],[Sample (g)]]</f>
        <v>8.6379357452735311E-2</v>
      </c>
      <c r="AG10" s="5">
        <f>Table16[[#This Row],[Dried pellet (g)]]/Table16[[#This Row],[Wet pellet (g)]]</f>
        <v>0.16644807900015413</v>
      </c>
      <c r="AH10" s="5">
        <f>Table16[[#This Row],[Dried supernatant (g)]]/Table16[[#This Row],[Supernatant (g)]]</f>
        <v>2.7616284374372725E-2</v>
      </c>
      <c r="AI10" s="10">
        <f>Table16[[#This Row],[Dried pellet (g)]]+Table16[[#This Row],[Dried supernatant (g)]]</f>
        <v>1.1881999999999997</v>
      </c>
      <c r="AJ10" s="12">
        <f>Table16[[#This Row],[Dried supernatant (g)]]/Table16[[#This Row],[Total DM (g)]]</f>
        <v>0.63684564888065998</v>
      </c>
      <c r="AK10" s="7">
        <f>(Table16[[#This Row],[Wet pellet (g)]]-Table16[[#This Row],[Dried pellet (g)]])/Table16[[#This Row],[Dried pellet (g)]]</f>
        <v>5.0078794901506436</v>
      </c>
      <c r="AL10" s="7">
        <f>((Table16[[#This Row],[Total DM (g)]])/(Table16[[#This Row],[Powder (g) weighed]]*Table16[[#This Row],[DM%]]/100))*100</f>
        <v>98.847689835815316</v>
      </c>
      <c r="AM10" s="37"/>
      <c r="AO10" s="37"/>
      <c r="AT10" t="s">
        <v>32</v>
      </c>
      <c r="AU10" s="15">
        <f t="shared" ref="AU10" si="20">AU9/AU8</f>
        <v>3.9490972175174333E-2</v>
      </c>
    </row>
    <row r="11" spans="1:47" x14ac:dyDescent="0.25">
      <c r="A11" s="39">
        <v>40</v>
      </c>
      <c r="B11" s="39">
        <v>1</v>
      </c>
      <c r="C11" s="3" t="s">
        <v>60</v>
      </c>
      <c r="D11" s="20">
        <v>92.17</v>
      </c>
      <c r="E11" s="21">
        <f>(4/Table16[[#This Row],[DM%]])*30</f>
        <v>1.3019420635781709</v>
      </c>
      <c r="F11" s="21">
        <v>10.274699999999999</v>
      </c>
      <c r="G11" s="21">
        <v>1.2999000000000001</v>
      </c>
      <c r="H11" s="21">
        <v>3.0449000000000002</v>
      </c>
      <c r="I11" s="21">
        <f>30-Table16[[#This Row],[Powder (g) for 100g 4% DM w/w]]</f>
        <v>28.698057936421829</v>
      </c>
      <c r="J11" s="21">
        <v>28.717300000000002</v>
      </c>
      <c r="K11" s="8">
        <v>6.52</v>
      </c>
      <c r="L11" s="8"/>
      <c r="M11" s="8"/>
      <c r="N11" s="8"/>
      <c r="O11" s="21">
        <v>43.262599999999999</v>
      </c>
      <c r="P11" s="21">
        <v>2.1667999999999998</v>
      </c>
      <c r="Q11" s="21">
        <v>29.376799999999999</v>
      </c>
      <c r="R11" s="21"/>
      <c r="S11" s="21">
        <f>(Table16[[#This Row],[Tray + supernatant (g)]]+Table16[[#This Row],[Extra supernatant by pipet (g)]])-Table16[[#This Row],[Empty tray for supernatant (g)]]</f>
        <v>27.21</v>
      </c>
      <c r="T11" s="21">
        <v>13.0038</v>
      </c>
      <c r="U11" s="21">
        <v>3.0430000000000001</v>
      </c>
      <c r="V11" s="21">
        <v>10.8108</v>
      </c>
      <c r="W11" s="21">
        <v>2.806</v>
      </c>
      <c r="X11" s="21">
        <v>3.0373000000000001</v>
      </c>
      <c r="Y11" s="21">
        <f>Table16[[#This Row],[Cap before drying (g)]]-Table16[[#This Row],[Cap (g)]]</f>
        <v>-1.9000000000000128E-3</v>
      </c>
      <c r="Z11" s="21">
        <f>Table16[[#This Row],[Cap after drying (g)]]-Table16[[#This Row],[Cap (g)]]</f>
        <v>-7.6000000000000512E-3</v>
      </c>
      <c r="AA11" s="21">
        <f>Table16[[#This Row],[Powder (g) weighed]]+Table16[[#This Row],[Water (g) weighed]]</f>
        <v>30.017200000000003</v>
      </c>
      <c r="AB11" s="21">
        <f>Table16[[#This Row],[Tube + pellet (g)]]-Table16[[#This Row],[Empty tube (g)]]</f>
        <v>2.7291000000000007</v>
      </c>
      <c r="AC11" s="21">
        <f>Table16[[#This Row],[Total supernatant (g)]]</f>
        <v>27.21</v>
      </c>
      <c r="AD11" s="21">
        <f>Table16[[#This Row],[Tube + dried pellet (g)]]-Table16[[#This Row],[Empty tube (g)]]</f>
        <v>0.53610000000000113</v>
      </c>
      <c r="AE11" s="21">
        <f>Table16[[#This Row],[Tray + dried supernatant (g)]]-Table16[[#This Row],[Empty tray for supernatant (g)]]</f>
        <v>0.63920000000000021</v>
      </c>
      <c r="AF11" s="5">
        <f>Table16[[#This Row],[Wet pellet (g)]]/Table16[[#This Row],[Sample (g)]]</f>
        <v>9.0917873752381986E-2</v>
      </c>
      <c r="AG11" s="5">
        <f>Table16[[#This Row],[Dried pellet (g)]]/Table16[[#This Row],[Wet pellet (g)]]</f>
        <v>0.19643838628119195</v>
      </c>
      <c r="AH11" s="5">
        <f>Table16[[#This Row],[Dried supernatant (g)]]/Table16[[#This Row],[Supernatant (g)]]</f>
        <v>2.349136346931276E-2</v>
      </c>
      <c r="AI11" s="10">
        <f>Table16[[#This Row],[Dried pellet (g)]]+Table16[[#This Row],[Dried supernatant (g)]]</f>
        <v>1.1753000000000013</v>
      </c>
      <c r="AJ11" s="12">
        <f>Table16[[#This Row],[Dried supernatant (g)]]/Table16[[#This Row],[Total DM (g)]]</f>
        <v>0.54386114183612655</v>
      </c>
      <c r="AK11" s="7">
        <f>(Table16[[#This Row],[Wet pellet (g)]]-Table16[[#This Row],[Dried pellet (g)]])/Table16[[#This Row],[Dried pellet (g)]]</f>
        <v>4.0906547285954016</v>
      </c>
      <c r="AL11" s="7">
        <f>((Table16[[#This Row],[Total DM (g)]])/(Table16[[#This Row],[Powder (g) weighed]]*Table16[[#This Row],[DM%]]/100))*100</f>
        <v>98.095527048454088</v>
      </c>
      <c r="AM11" s="37"/>
      <c r="AO11" s="37"/>
      <c r="AT11" t="s">
        <v>30</v>
      </c>
      <c r="AU11">
        <f t="shared" ref="AU11" si="21">SUM(AA11:AA13)</f>
        <v>90.034199999999998</v>
      </c>
    </row>
    <row r="12" spans="1:47" x14ac:dyDescent="0.25">
      <c r="B12" s="39">
        <v>2</v>
      </c>
      <c r="C12" s="3" t="s">
        <v>71</v>
      </c>
      <c r="D12" s="20">
        <v>92.17</v>
      </c>
      <c r="E12" s="21"/>
      <c r="F12" s="21">
        <v>10.1541</v>
      </c>
      <c r="G12" s="21">
        <v>1.3021</v>
      </c>
      <c r="H12" s="21">
        <v>2.9449999999999998</v>
      </c>
      <c r="I12" s="21"/>
      <c r="J12" s="21">
        <v>28.7272</v>
      </c>
      <c r="K12" s="8"/>
      <c r="L12" s="8"/>
      <c r="M12" s="8"/>
      <c r="N12" s="8"/>
      <c r="O12" s="21">
        <v>43.128399999999999</v>
      </c>
      <c r="P12" s="21">
        <v>2.1806000000000001</v>
      </c>
      <c r="Q12" s="21">
        <v>29.334499999999998</v>
      </c>
      <c r="R12" s="21"/>
      <c r="S12" s="21">
        <f>(Table16[[#This Row],[Tray + supernatant (g)]]+Table16[[#This Row],[Extra supernatant by pipet (g)]])-Table16[[#This Row],[Empty tray for supernatant (g)]]</f>
        <v>27.1539</v>
      </c>
      <c r="T12" s="21">
        <v>13.0238</v>
      </c>
      <c r="U12" s="21">
        <v>2.9460999999999999</v>
      </c>
      <c r="V12" s="21">
        <v>10.685700000000001</v>
      </c>
      <c r="W12" s="21">
        <v>2.8285999999999998</v>
      </c>
      <c r="X12" s="21">
        <v>2.9392</v>
      </c>
      <c r="Y12" s="21">
        <f>Table16[[#This Row],[Cap before drying (g)]]-Table16[[#This Row],[Cap (g)]]</f>
        <v>1.1000000000001009E-3</v>
      </c>
      <c r="Z12" s="21">
        <f>Table16[[#This Row],[Cap after drying (g)]]-Table16[[#This Row],[Cap (g)]]</f>
        <v>-5.7999999999998053E-3</v>
      </c>
      <c r="AA12" s="21">
        <f>Table16[[#This Row],[Powder (g) weighed]]+Table16[[#This Row],[Water (g) weighed]]</f>
        <v>30.029299999999999</v>
      </c>
      <c r="AB12" s="21">
        <f>Table16[[#This Row],[Tube + pellet (g)]]-Table16[[#This Row],[Empty tube (g)]]</f>
        <v>2.8696999999999999</v>
      </c>
      <c r="AC12" s="21">
        <f>Table16[[#This Row],[Total supernatant (g)]]</f>
        <v>27.1539</v>
      </c>
      <c r="AD12" s="21">
        <f>Table16[[#This Row],[Tube + dried pellet (g)]]-Table16[[#This Row],[Empty tube (g)]]</f>
        <v>0.53160000000000096</v>
      </c>
      <c r="AE12" s="21">
        <f>Table16[[#This Row],[Tray + dried supernatant (g)]]-Table16[[#This Row],[Empty tray for supernatant (g)]]</f>
        <v>0.64799999999999969</v>
      </c>
      <c r="AF12" s="5">
        <f>Table16[[#This Row],[Wet pellet (g)]]/Table16[[#This Row],[Sample (g)]]</f>
        <v>9.556333314462874E-2</v>
      </c>
      <c r="AG12" s="5">
        <f>Table16[[#This Row],[Dried pellet (g)]]/Table16[[#This Row],[Wet pellet (g)]]</f>
        <v>0.18524584451336409</v>
      </c>
      <c r="AH12" s="5">
        <f>Table16[[#This Row],[Dried supernatant (g)]]/Table16[[#This Row],[Supernatant (g)]]</f>
        <v>2.3863975340558802E-2</v>
      </c>
      <c r="AI12" s="10">
        <f>Table16[[#This Row],[Dried pellet (g)]]+Table16[[#This Row],[Dried supernatant (g)]]</f>
        <v>1.1796000000000006</v>
      </c>
      <c r="AJ12" s="12">
        <f>Table16[[#This Row],[Dried supernatant (g)]]/Table16[[#This Row],[Total DM (g)]]</f>
        <v>0.54933875890132189</v>
      </c>
      <c r="AK12" s="7">
        <f>(Table16[[#This Row],[Wet pellet (g)]]-Table16[[#This Row],[Dried pellet (g)]])/Table16[[#This Row],[Dried pellet (g)]]</f>
        <v>4.3982317531978836</v>
      </c>
      <c r="AL12" s="7">
        <f>((Table16[[#This Row],[Total DM (g)]])/(Table16[[#This Row],[Powder (g) weighed]]*Table16[[#This Row],[DM%]]/100))*100</f>
        <v>98.288076837212373</v>
      </c>
      <c r="AM12" s="37"/>
      <c r="AO12" t="str">
        <f>C11</f>
        <v>Pea concentrate P NT - YP NTm20z4F8</v>
      </c>
      <c r="AP12" s="13">
        <f t="shared" ref="AP12" si="22">AVERAGE(AJ11:AJ13)</f>
        <v>0.54900884640508307</v>
      </c>
      <c r="AQ12" s="14">
        <f t="shared" ref="AQ12" si="23">_xlfn.STDEV.P(AJ11:AJ13)</f>
        <v>4.0750797554719069E-3</v>
      </c>
      <c r="AR12" s="4">
        <f t="shared" ref="AR12" si="24">AVERAGE(AK11:AK13)</f>
        <v>4.3126968080579537</v>
      </c>
      <c r="AS12" s="4">
        <f t="shared" ref="AS12" si="25">_xlfn.STDEV.P(AK11:AK13)</f>
        <v>0.15838045924620861</v>
      </c>
      <c r="AT12" t="s">
        <v>31</v>
      </c>
      <c r="AU12">
        <f t="shared" ref="AU12" si="26">SUM(AI11:AI13)</f>
        <v>3.5374000000000034</v>
      </c>
    </row>
    <row r="13" spans="1:47" x14ac:dyDescent="0.25">
      <c r="B13" s="39">
        <v>3</v>
      </c>
      <c r="C13" s="3" t="s">
        <v>72</v>
      </c>
      <c r="D13" s="20">
        <v>92.17</v>
      </c>
      <c r="E13" s="21"/>
      <c r="F13" s="21">
        <v>10.194699999999999</v>
      </c>
      <c r="G13" s="21">
        <v>1.3017000000000001</v>
      </c>
      <c r="H13" s="21">
        <v>2.9453</v>
      </c>
      <c r="I13" s="21"/>
      <c r="J13" s="21">
        <v>28.686</v>
      </c>
      <c r="K13" s="8"/>
      <c r="L13" s="8"/>
      <c r="M13" s="8"/>
      <c r="N13" s="8"/>
      <c r="O13" s="21">
        <v>43.128399999999999</v>
      </c>
      <c r="P13" s="21">
        <v>2.1747999999999998</v>
      </c>
      <c r="Q13" s="21">
        <v>29.281600000000001</v>
      </c>
      <c r="R13" s="21"/>
      <c r="S13" s="21">
        <f>(Table16[[#This Row],[Tray + supernatant (g)]]+Table16[[#This Row],[Extra supernatant by pipet (g)]])-Table16[[#This Row],[Empty tray for supernatant (g)]]</f>
        <v>27.1068</v>
      </c>
      <c r="T13" s="21">
        <v>13.069699999999999</v>
      </c>
      <c r="U13" s="21">
        <v>2.9457</v>
      </c>
      <c r="V13" s="21">
        <v>10.722300000000001</v>
      </c>
      <c r="W13" s="21">
        <v>2.8296999999999999</v>
      </c>
      <c r="X13" s="21">
        <v>2.9390000000000001</v>
      </c>
      <c r="Y13" s="21">
        <f>Table16[[#This Row],[Cap before drying (g)]]-Table16[[#This Row],[Cap (g)]]</f>
        <v>3.9999999999995595E-4</v>
      </c>
      <c r="Z13" s="21">
        <f>Table16[[#This Row],[Cap after drying (g)]]-Table16[[#This Row],[Cap (g)]]</f>
        <v>-6.2999999999999723E-3</v>
      </c>
      <c r="AA13" s="21">
        <f>Table16[[#This Row],[Powder (g) weighed]]+Table16[[#This Row],[Water (g) weighed]]</f>
        <v>29.9877</v>
      </c>
      <c r="AB13" s="21">
        <f>Table16[[#This Row],[Tube + pellet (g)]]-Table16[[#This Row],[Empty tube (g)]]</f>
        <v>2.875</v>
      </c>
      <c r="AC13" s="21">
        <f>Table16[[#This Row],[Total supernatant (g)]]</f>
        <v>27.1068</v>
      </c>
      <c r="AD13" s="21">
        <f>Table16[[#This Row],[Tube + dried pellet (g)]]-Table16[[#This Row],[Empty tube (g)]]</f>
        <v>0.5276000000000014</v>
      </c>
      <c r="AE13" s="21">
        <f>Table16[[#This Row],[Tray + dried supernatant (g)]]-Table16[[#This Row],[Empty tray for supernatant (g)]]</f>
        <v>0.65490000000000004</v>
      </c>
      <c r="AF13" s="5">
        <f>Table16[[#This Row],[Wet pellet (g)]]/Table16[[#This Row],[Sample (g)]]</f>
        <v>9.5872641116190968E-2</v>
      </c>
      <c r="AG13" s="5">
        <f>Table16[[#This Row],[Dried pellet (g)]]/Table16[[#This Row],[Wet pellet (g)]]</f>
        <v>0.18351304347826136</v>
      </c>
      <c r="AH13" s="5">
        <f>Table16[[#This Row],[Dried supernatant (g)]]/Table16[[#This Row],[Supernatant (g)]]</f>
        <v>2.4159989375359691E-2</v>
      </c>
      <c r="AI13" s="10">
        <f>Table16[[#This Row],[Dried pellet (g)]]+Table16[[#This Row],[Dried supernatant (g)]]</f>
        <v>1.1825000000000014</v>
      </c>
      <c r="AJ13" s="12">
        <f>Table16[[#This Row],[Dried supernatant (g)]]/Table16[[#This Row],[Total DM (g)]]</f>
        <v>0.55382663847780067</v>
      </c>
      <c r="AK13" s="7">
        <f>(Table16[[#This Row],[Wet pellet (g)]]-Table16[[#This Row],[Dried pellet (g)]])/Table16[[#This Row],[Dried pellet (g)]]</f>
        <v>4.4492039423805769</v>
      </c>
      <c r="AL13" s="7">
        <f>((Table16[[#This Row],[Total DM (g)]])/(Table16[[#This Row],[Powder (g) weighed]]*Table16[[#This Row],[DM%]]/100))*100</f>
        <v>98.559991433073975</v>
      </c>
      <c r="AM13" s="37"/>
      <c r="AO13" s="37"/>
      <c r="AT13" t="s">
        <v>32</v>
      </c>
      <c r="AU13" s="15">
        <f t="shared" ref="AU13" si="27">AU12/AU11</f>
        <v>3.9289514428961475E-2</v>
      </c>
    </row>
    <row r="14" spans="1:47" x14ac:dyDescent="0.25">
      <c r="A14" s="39">
        <v>41</v>
      </c>
      <c r="B14" s="39">
        <v>1</v>
      </c>
      <c r="C14" s="36" t="s">
        <v>62</v>
      </c>
      <c r="D14" s="8">
        <v>94.62</v>
      </c>
      <c r="E14" s="21">
        <f>(4/Table16[[#This Row],[DM%]])*30</f>
        <v>1.2682308180088777</v>
      </c>
      <c r="F14" s="21">
        <v>10.1594</v>
      </c>
      <c r="G14" s="21">
        <v>1.2692000000000001</v>
      </c>
      <c r="H14" s="21">
        <v>2.9319000000000002</v>
      </c>
      <c r="I14" s="21">
        <f>30-Table16[[#This Row],[Powder (g) for 100g 4% DM w/w]]</f>
        <v>28.731769181991123</v>
      </c>
      <c r="J14" s="21">
        <v>28.7424</v>
      </c>
      <c r="K14" s="8">
        <v>6.74</v>
      </c>
      <c r="L14" s="8"/>
      <c r="M14" s="8"/>
      <c r="N14" s="8"/>
      <c r="O14" s="21">
        <v>43.014299999999999</v>
      </c>
      <c r="P14" s="21">
        <v>2.1680999999999999</v>
      </c>
      <c r="Q14" s="21">
        <v>29.252600000000001</v>
      </c>
      <c r="R14" s="41">
        <v>6.6000000000000003E-2</v>
      </c>
      <c r="S14" s="21">
        <f>(Table16[[#This Row],[Tray + supernatant (g)]]+Table16[[#This Row],[Extra supernatant by pipet (g)]])-Table16[[#This Row],[Empty tray for supernatant (g)]]</f>
        <v>27.150500000000001</v>
      </c>
      <c r="T14" s="21">
        <v>12.912100000000001</v>
      </c>
      <c r="U14" s="21">
        <v>2.9331999999999998</v>
      </c>
      <c r="V14" s="21">
        <v>10.7964</v>
      </c>
      <c r="W14" s="21">
        <v>2.7120000000000002</v>
      </c>
      <c r="X14" s="21">
        <v>2.9260999999999999</v>
      </c>
      <c r="Y14" s="21">
        <f>Table16[[#This Row],[Cap before drying (g)]]-Table16[[#This Row],[Cap (g)]]</f>
        <v>1.2999999999996348E-3</v>
      </c>
      <c r="Z14" s="21">
        <f>Table16[[#This Row],[Cap after drying (g)]]-Table16[[#This Row],[Cap (g)]]</f>
        <v>-5.8000000000002494E-3</v>
      </c>
      <c r="AA14" s="21">
        <f>Table16[[#This Row],[Powder (g) weighed]]+Table16[[#This Row],[Water (g) weighed]]</f>
        <v>30.011600000000001</v>
      </c>
      <c r="AB14" s="21">
        <f>Table16[[#This Row],[Tube + pellet (g)]]-Table16[[#This Row],[Empty tube (g)]]</f>
        <v>2.7527000000000008</v>
      </c>
      <c r="AC14" s="21">
        <f>Table16[[#This Row],[Total supernatant (g)]]</f>
        <v>27.150500000000001</v>
      </c>
      <c r="AD14" s="21">
        <f>Table16[[#This Row],[Tube + dried pellet (g)]]-Table16[[#This Row],[Empty tube (g)]]</f>
        <v>0.63700000000000045</v>
      </c>
      <c r="AE14" s="21">
        <f>Table16[[#This Row],[Tray + dried supernatant (g)]]-Table16[[#This Row],[Empty tray for supernatant (g)]]</f>
        <v>0.54390000000000027</v>
      </c>
      <c r="AF14" s="5">
        <f>Table16[[#This Row],[Wet pellet (g)]]/Table16[[#This Row],[Sample (g)]]</f>
        <v>9.172120113556094E-2</v>
      </c>
      <c r="AG14" s="5">
        <f>Table16[[#This Row],[Dried pellet (g)]]/Table16[[#This Row],[Wet pellet (g)]]</f>
        <v>0.23140916191375749</v>
      </c>
      <c r="AH14" s="5">
        <f>Table16[[#This Row],[Dried supernatant (g)]]/Table16[[#This Row],[Supernatant (g)]]</f>
        <v>2.0032780243457771E-2</v>
      </c>
      <c r="AI14" s="10">
        <f>Table16[[#This Row],[Dried pellet (g)]]+Table16[[#This Row],[Dried supernatant (g)]]</f>
        <v>1.1809000000000007</v>
      </c>
      <c r="AJ14" s="12">
        <f>Table16[[#This Row],[Dried supernatant (g)]]/Table16[[#This Row],[Total DM (g)]]</f>
        <v>0.46058091286307051</v>
      </c>
      <c r="AK14" s="7">
        <f>(Table16[[#This Row],[Wet pellet (g)]]-Table16[[#This Row],[Dried pellet (g)]])/Table16[[#This Row],[Dried pellet (g)]]</f>
        <v>3.3213500784929337</v>
      </c>
      <c r="AL14" s="7">
        <f>((Table16[[#This Row],[Total DM (g)]])/(Table16[[#This Row],[Powder (g) weighed]]*Table16[[#This Row],[DM%]]/100))*100</f>
        <v>98.333187111742575</v>
      </c>
      <c r="AM14" s="37"/>
      <c r="AO14" s="37"/>
      <c r="AT14" t="s">
        <v>30</v>
      </c>
      <c r="AU14">
        <f t="shared" ref="AU14" si="28">SUM(AA14:AA16)</f>
        <v>90.005200000000002</v>
      </c>
    </row>
    <row r="15" spans="1:47" x14ac:dyDescent="0.25">
      <c r="B15" s="39">
        <v>2</v>
      </c>
      <c r="C15" s="36" t="s">
        <v>73</v>
      </c>
      <c r="D15" s="8">
        <v>94.62</v>
      </c>
      <c r="E15" s="21"/>
      <c r="F15" s="21">
        <v>10.1897</v>
      </c>
      <c r="G15" s="21">
        <v>1.2696000000000001</v>
      </c>
      <c r="H15" s="21">
        <v>2.9342999999999999</v>
      </c>
      <c r="I15" s="21"/>
      <c r="J15" s="21">
        <v>28.7377</v>
      </c>
      <c r="K15" s="8"/>
      <c r="L15" s="8"/>
      <c r="M15" s="8"/>
      <c r="N15" s="8"/>
      <c r="O15" s="21">
        <v>43.132599999999996</v>
      </c>
      <c r="P15" s="21">
        <v>2.1747000000000001</v>
      </c>
      <c r="Q15" s="21">
        <v>29.314399999999999</v>
      </c>
      <c r="R15" s="41">
        <v>7.9899999999999999E-2</v>
      </c>
      <c r="S15" s="21">
        <f>(Table16[[#This Row],[Tray + supernatant (g)]]+Table16[[#This Row],[Extra supernatant by pipet (g)]])-Table16[[#This Row],[Empty tray for supernatant (g)]]</f>
        <v>27.219599999999996</v>
      </c>
      <c r="T15" s="21">
        <v>12.960599999999999</v>
      </c>
      <c r="U15" s="21">
        <v>2.9358</v>
      </c>
      <c r="V15" s="21">
        <v>10.8283</v>
      </c>
      <c r="W15" s="21">
        <v>2.7233999999999998</v>
      </c>
      <c r="X15" s="21">
        <v>2.9276</v>
      </c>
      <c r="Y15" s="21">
        <f>Table16[[#This Row],[Cap before drying (g)]]-Table16[[#This Row],[Cap (g)]]</f>
        <v>1.5000000000000568E-3</v>
      </c>
      <c r="Z15" s="21">
        <f>Table16[[#This Row],[Cap after drying (g)]]-Table16[[#This Row],[Cap (g)]]</f>
        <v>-6.6999999999999282E-3</v>
      </c>
      <c r="AA15" s="21">
        <f>Table16[[#This Row],[Powder (g) weighed]]+Table16[[#This Row],[Water (g) weighed]]</f>
        <v>30.007300000000001</v>
      </c>
      <c r="AB15" s="21">
        <f>Table16[[#This Row],[Tube + pellet (g)]]-Table16[[#This Row],[Empty tube (g)]]</f>
        <v>2.7708999999999993</v>
      </c>
      <c r="AC15" s="21">
        <f>Table16[[#This Row],[Total supernatant (g)]]</f>
        <v>27.219599999999996</v>
      </c>
      <c r="AD15" s="21">
        <f>Table16[[#This Row],[Tube + dried pellet (g)]]-Table16[[#This Row],[Empty tube (g)]]</f>
        <v>0.63860000000000028</v>
      </c>
      <c r="AE15" s="21">
        <f>Table16[[#This Row],[Tray + dried supernatant (g)]]-Table16[[#This Row],[Empty tray for supernatant (g)]]</f>
        <v>0.54869999999999974</v>
      </c>
      <c r="AF15" s="5">
        <f>Table16[[#This Row],[Wet pellet (g)]]/Table16[[#This Row],[Sample (g)]]</f>
        <v>9.2340863723160665E-2</v>
      </c>
      <c r="AG15" s="5">
        <f>Table16[[#This Row],[Dried pellet (g)]]/Table16[[#This Row],[Wet pellet (g)]]</f>
        <v>0.23046663538922388</v>
      </c>
      <c r="AH15" s="5">
        <f>Table16[[#This Row],[Dried supernatant (g)]]/Table16[[#This Row],[Supernatant (g)]]</f>
        <v>2.015826830666137E-2</v>
      </c>
      <c r="AI15" s="10">
        <f>Table16[[#This Row],[Dried pellet (g)]]+Table16[[#This Row],[Dried supernatant (g)]]</f>
        <v>1.1873</v>
      </c>
      <c r="AJ15" s="12">
        <f>Table16[[#This Row],[Dried supernatant (g)]]/Table16[[#This Row],[Total DM (g)]]</f>
        <v>0.46214099216710158</v>
      </c>
      <c r="AK15" s="7">
        <f>(Table16[[#This Row],[Wet pellet (g)]]-Table16[[#This Row],[Dried pellet (g)]])/Table16[[#This Row],[Dried pellet (g)]]</f>
        <v>3.3390228625117415</v>
      </c>
      <c r="AL15" s="7">
        <f>((Table16[[#This Row],[Total DM (g)]])/(Table16[[#This Row],[Powder (g) weighed]]*Table16[[#This Row],[DM%]]/100))*100</f>
        <v>98.834964439058254</v>
      </c>
      <c r="AM15" s="37"/>
      <c r="AO15" t="str">
        <f>C14</f>
        <v>Pea concentrate P T - P SHS30 m20z4F8</v>
      </c>
      <c r="AP15" s="13">
        <f t="shared" ref="AP15" si="29">AVERAGE(AJ14:AJ16)</f>
        <v>0.46111937941981163</v>
      </c>
      <c r="AQ15" s="14">
        <f t="shared" ref="AQ15" si="30">_xlfn.STDEV.P(AJ14:AJ16)</f>
        <v>7.2274224995169548E-4</v>
      </c>
      <c r="AR15" s="4">
        <f t="shared" ref="AR15" si="31">AVERAGE(AK14:AK16)</f>
        <v>3.32984479760648</v>
      </c>
      <c r="AS15" s="4">
        <f t="shared" ref="AS15" si="32">_xlfn.STDEV.P(AK14:AK16)</f>
        <v>7.2310462519678698E-3</v>
      </c>
      <c r="AT15" t="s">
        <v>31</v>
      </c>
      <c r="AU15">
        <f t="shared" ref="AU15" si="33">SUM(AI14:AI16)</f>
        <v>3.553300000000001</v>
      </c>
    </row>
    <row r="16" spans="1:47" x14ac:dyDescent="0.25">
      <c r="B16" s="39">
        <v>3</v>
      </c>
      <c r="C16" s="36" t="s">
        <v>74</v>
      </c>
      <c r="D16" s="8">
        <v>94.62</v>
      </c>
      <c r="E16" s="21"/>
      <c r="F16" s="21">
        <v>10.280099999999999</v>
      </c>
      <c r="G16" s="21">
        <v>1.2696000000000001</v>
      </c>
      <c r="H16" s="21">
        <v>2.9415</v>
      </c>
      <c r="I16" s="21"/>
      <c r="J16" s="21">
        <v>28.716699999999999</v>
      </c>
      <c r="K16" s="8"/>
      <c r="L16" s="8"/>
      <c r="M16" s="8"/>
      <c r="N16" s="8"/>
      <c r="O16" s="21">
        <v>43.206499999999998</v>
      </c>
      <c r="P16" s="21">
        <v>2.1718000000000002</v>
      </c>
      <c r="Q16" s="21">
        <v>29.289899999999999</v>
      </c>
      <c r="R16" s="41">
        <v>8.0100000000000005E-2</v>
      </c>
      <c r="S16" s="21">
        <f>(Table16[[#This Row],[Tray + supernatant (g)]]+Table16[[#This Row],[Extra supernatant by pipet (g)]])-Table16[[#This Row],[Empty tray for supernatant (g)]]</f>
        <v>27.1982</v>
      </c>
      <c r="T16" s="21">
        <v>13.0473</v>
      </c>
      <c r="U16" s="21">
        <v>2.9424000000000001</v>
      </c>
      <c r="V16" s="21">
        <v>10.9193</v>
      </c>
      <c r="W16" s="21">
        <v>2.7176999999999998</v>
      </c>
      <c r="X16" s="21">
        <v>2.9359999999999999</v>
      </c>
      <c r="Y16" s="21">
        <f>Table16[[#This Row],[Cap before drying (g)]]-Table16[[#This Row],[Cap (g)]]</f>
        <v>9.0000000000012292E-4</v>
      </c>
      <c r="Z16" s="21">
        <f>Table16[[#This Row],[Cap after drying (g)]]-Table16[[#This Row],[Cap (g)]]</f>
        <v>-5.5000000000000604E-3</v>
      </c>
      <c r="AA16" s="21">
        <f>Table16[[#This Row],[Powder (g) weighed]]+Table16[[#This Row],[Water (g) weighed]]</f>
        <v>29.9863</v>
      </c>
      <c r="AB16" s="21">
        <f>Table16[[#This Row],[Tube + pellet (g)]]-Table16[[#This Row],[Empty tube (g)]]</f>
        <v>2.7672000000000008</v>
      </c>
      <c r="AC16" s="21">
        <f>Table16[[#This Row],[Total supernatant (g)]]</f>
        <v>27.1982</v>
      </c>
      <c r="AD16" s="21">
        <f>Table16[[#This Row],[Tube + dried pellet (g)]]-Table16[[#This Row],[Empty tube (g)]]</f>
        <v>0.63920000000000066</v>
      </c>
      <c r="AE16" s="21">
        <f>Table16[[#This Row],[Tray + dried supernatant (g)]]-Table16[[#This Row],[Empty tray for supernatant (g)]]</f>
        <v>0.54589999999999961</v>
      </c>
      <c r="AF16" s="5">
        <f>Table16[[#This Row],[Wet pellet (g)]]/Table16[[#This Row],[Sample (g)]]</f>
        <v>9.2282142178261431E-2</v>
      </c>
      <c r="AG16" s="5">
        <f>Table16[[#This Row],[Dried pellet (g)]]/Table16[[#This Row],[Wet pellet (g)]]</f>
        <v>0.23099161607401</v>
      </c>
      <c r="AH16" s="5">
        <f>Table16[[#This Row],[Dried supernatant (g)]]/Table16[[#This Row],[Supernatant (g)]]</f>
        <v>2.007118118110756E-2</v>
      </c>
      <c r="AI16" s="10">
        <f>Table16[[#This Row],[Dried pellet (g)]]+Table16[[#This Row],[Dried supernatant (g)]]</f>
        <v>1.1851000000000003</v>
      </c>
      <c r="AJ16" s="12">
        <f>Table16[[#This Row],[Dried supernatant (g)]]/Table16[[#This Row],[Total DM (g)]]</f>
        <v>0.46063623322926289</v>
      </c>
      <c r="AK16" s="7">
        <f>(Table16[[#This Row],[Wet pellet (g)]]-Table16[[#This Row],[Dried pellet (g)]])/Table16[[#This Row],[Dried pellet (g)]]</f>
        <v>3.3291614518147652</v>
      </c>
      <c r="AL16" s="7">
        <f>((Table16[[#This Row],[Total DM (g)]])/(Table16[[#This Row],[Powder (g) weighed]]*Table16[[#This Row],[DM%]]/100))*100</f>
        <v>98.651828818940416</v>
      </c>
      <c r="AM16" s="37"/>
      <c r="AO16" s="37"/>
      <c r="AT16" t="s">
        <v>32</v>
      </c>
      <c r="AU16" s="15">
        <f t="shared" ref="AU16" si="34">AU15/AU14</f>
        <v>3.9478830112037983E-2</v>
      </c>
    </row>
    <row r="17" spans="1:47" x14ac:dyDescent="0.25">
      <c r="A17" s="39">
        <v>42</v>
      </c>
      <c r="B17" s="39">
        <v>1</v>
      </c>
      <c r="C17" s="36" t="s">
        <v>64</v>
      </c>
      <c r="D17" s="8">
        <v>96.73</v>
      </c>
      <c r="E17" s="21">
        <f>(4/Table16[[#This Row],[DM%]])*30</f>
        <v>1.2405665253799234</v>
      </c>
      <c r="F17" s="21">
        <v>10.1075</v>
      </c>
      <c r="G17" s="21">
        <v>1.2416</v>
      </c>
      <c r="H17" s="21">
        <v>2.9169</v>
      </c>
      <c r="I17" s="21">
        <f>30-Table16[[#This Row],[Powder (g) for 100g 4% DM w/w]]</f>
        <v>28.759433474620078</v>
      </c>
      <c r="J17" s="21">
        <v>28.782599999999999</v>
      </c>
      <c r="K17" s="8">
        <v>6.52</v>
      </c>
      <c r="L17" s="8"/>
      <c r="M17" s="8"/>
      <c r="N17" s="8"/>
      <c r="O17" s="21">
        <v>42.998399999999997</v>
      </c>
      <c r="P17" s="21">
        <v>2.1775000000000002</v>
      </c>
      <c r="Q17" s="21">
        <v>29.252400000000002</v>
      </c>
      <c r="R17" s="21"/>
      <c r="S17" s="21">
        <f>(Table16[[#This Row],[Tray + supernatant (g)]]+Table16[[#This Row],[Extra supernatant by pipet (g)]])-Table16[[#This Row],[Empty tray for supernatant (g)]]</f>
        <v>27.0749</v>
      </c>
      <c r="T17" s="21">
        <v>13.0002</v>
      </c>
      <c r="U17" s="21">
        <v>2.9176000000000002</v>
      </c>
      <c r="V17" s="21">
        <v>10.6533</v>
      </c>
      <c r="W17" s="21">
        <v>2.8079000000000001</v>
      </c>
      <c r="X17" s="21">
        <v>2.9113000000000002</v>
      </c>
      <c r="Y17" s="21">
        <f>Table16[[#This Row],[Cap before drying (g)]]-Table16[[#This Row],[Cap (g)]]</f>
        <v>7.0000000000014495E-4</v>
      </c>
      <c r="Z17" s="21">
        <f>Table16[[#This Row],[Cap after drying (g)]]-Table16[[#This Row],[Cap (g)]]</f>
        <v>-5.5999999999998273E-3</v>
      </c>
      <c r="AA17" s="21">
        <f>Table16[[#This Row],[Powder (g) weighed]]+Table16[[#This Row],[Water (g) weighed]]</f>
        <v>30.0242</v>
      </c>
      <c r="AB17" s="21">
        <f>Table16[[#This Row],[Tube + pellet (g)]]-Table16[[#This Row],[Empty tube (g)]]</f>
        <v>2.8926999999999996</v>
      </c>
      <c r="AC17" s="21">
        <f>Table16[[#This Row],[Total supernatant (g)]]</f>
        <v>27.0749</v>
      </c>
      <c r="AD17" s="21">
        <f>Table16[[#This Row],[Tube + dried pellet (g)]]-Table16[[#This Row],[Empty tube (g)]]</f>
        <v>0.54579999999999984</v>
      </c>
      <c r="AE17" s="21">
        <f>Table16[[#This Row],[Tray + dried supernatant (g)]]-Table16[[#This Row],[Empty tray for supernatant (g)]]</f>
        <v>0.63039999999999985</v>
      </c>
      <c r="AF17" s="5">
        <f>Table16[[#This Row],[Wet pellet (g)]]/Table16[[#This Row],[Sample (g)]]</f>
        <v>9.6345614537606317E-2</v>
      </c>
      <c r="AG17" s="5">
        <f>Table16[[#This Row],[Dried pellet (g)]]/Table16[[#This Row],[Wet pellet (g)]]</f>
        <v>0.18868185432295084</v>
      </c>
      <c r="AH17" s="5">
        <f>Table16[[#This Row],[Dried supernatant (g)]]/Table16[[#This Row],[Supernatant (g)]]</f>
        <v>2.3283557834008616E-2</v>
      </c>
      <c r="AI17" s="10">
        <f>Table16[[#This Row],[Dried pellet (g)]]+Table16[[#This Row],[Dried supernatant (g)]]</f>
        <v>1.1761999999999997</v>
      </c>
      <c r="AJ17" s="12">
        <f>Table16[[#This Row],[Dried supernatant (g)]]/Table16[[#This Row],[Total DM (g)]]</f>
        <v>0.53596327155245704</v>
      </c>
      <c r="AK17" s="7">
        <f>(Table16[[#This Row],[Wet pellet (g)]]-Table16[[#This Row],[Dried pellet (g)]])/Table16[[#This Row],[Dried pellet (g)]]</f>
        <v>4.2999267130817156</v>
      </c>
      <c r="AL17" s="7">
        <f>((Table16[[#This Row],[Total DM (g)]])/(Table16[[#This Row],[Powder (g) weighed]]*Table16[[#This Row],[DM%]]/100))*100</f>
        <v>97.935080215841495</v>
      </c>
      <c r="AM17" s="37"/>
      <c r="AO17" s="37"/>
      <c r="AT17"/>
      <c r="AU17" s="15"/>
    </row>
    <row r="18" spans="1:47" x14ac:dyDescent="0.25">
      <c r="B18" s="39">
        <v>2</v>
      </c>
      <c r="C18" s="36" t="s">
        <v>75</v>
      </c>
      <c r="D18" s="8">
        <v>96.73</v>
      </c>
      <c r="E18" s="21"/>
      <c r="F18" s="21">
        <v>10.2232</v>
      </c>
      <c r="G18" s="21">
        <v>1.2428999999999999</v>
      </c>
      <c r="H18" s="21">
        <v>3.0527000000000002</v>
      </c>
      <c r="I18" s="21"/>
      <c r="J18" s="21">
        <v>28.7758</v>
      </c>
      <c r="K18" s="8"/>
      <c r="L18" s="8"/>
      <c r="M18" s="8"/>
      <c r="N18" s="8"/>
      <c r="O18" s="21">
        <v>43.274000000000001</v>
      </c>
      <c r="P18" s="21">
        <v>2.1757</v>
      </c>
      <c r="Q18" s="21">
        <v>29.0962</v>
      </c>
      <c r="R18" s="21"/>
      <c r="S18" s="21">
        <f>(Table16[[#This Row],[Tray + supernatant (g)]]+Table16[[#This Row],[Extra supernatant by pipet (g)]])-Table16[[#This Row],[Empty tray for supernatant (g)]]</f>
        <v>26.920500000000001</v>
      </c>
      <c r="T18" s="21">
        <v>13.2934</v>
      </c>
      <c r="U18" s="21">
        <v>3.0539000000000001</v>
      </c>
      <c r="V18" s="21">
        <v>10.768599999999999</v>
      </c>
      <c r="W18" s="21">
        <v>2.8075999999999999</v>
      </c>
      <c r="X18" s="21">
        <v>3.0467</v>
      </c>
      <c r="Y18" s="21">
        <f>Table16[[#This Row],[Cap before drying (g)]]-Table16[[#This Row],[Cap (g)]]</f>
        <v>1.1999999999998678E-3</v>
      </c>
      <c r="Z18" s="21">
        <f>Table16[[#This Row],[Cap after drying (g)]]-Table16[[#This Row],[Cap (g)]]</f>
        <v>-6.0000000000002274E-3</v>
      </c>
      <c r="AA18" s="21">
        <f>Table16[[#This Row],[Powder (g) weighed]]+Table16[[#This Row],[Water (g) weighed]]</f>
        <v>30.018699999999999</v>
      </c>
      <c r="AB18" s="21">
        <f>Table16[[#This Row],[Tube + pellet (g)]]-Table16[[#This Row],[Empty tube (g)]]</f>
        <v>3.0701999999999998</v>
      </c>
      <c r="AC18" s="21">
        <f>Table16[[#This Row],[Total supernatant (g)]]</f>
        <v>26.920500000000001</v>
      </c>
      <c r="AD18" s="21">
        <f>Table16[[#This Row],[Tube + dried pellet (g)]]-Table16[[#This Row],[Empty tube (g)]]</f>
        <v>0.545399999999999</v>
      </c>
      <c r="AE18" s="21">
        <f>Table16[[#This Row],[Tray + dried supernatant (g)]]-Table16[[#This Row],[Empty tray for supernatant (g)]]</f>
        <v>0.63189999999999991</v>
      </c>
      <c r="AF18" s="5">
        <f>Table16[[#This Row],[Wet pellet (g)]]/Table16[[#This Row],[Sample (g)]]</f>
        <v>0.10227624780553454</v>
      </c>
      <c r="AG18" s="5">
        <f>Table16[[#This Row],[Dried pellet (g)]]/Table16[[#This Row],[Wet pellet (g)]]</f>
        <v>0.17764315028336886</v>
      </c>
      <c r="AH18" s="5">
        <f>Table16[[#This Row],[Dried supernatant (g)]]/Table16[[#This Row],[Supernatant (g)]]</f>
        <v>2.3472818112590773E-2</v>
      </c>
      <c r="AI18" s="10">
        <f>Table16[[#This Row],[Dried pellet (g)]]+Table16[[#This Row],[Dried supernatant (g)]]</f>
        <v>1.1772999999999989</v>
      </c>
      <c r="AJ18" s="12">
        <f>Table16[[#This Row],[Dried supernatant (g)]]/Table16[[#This Row],[Total DM (g)]]</f>
        <v>0.53673660069650941</v>
      </c>
      <c r="AK18" s="7">
        <f>(Table16[[#This Row],[Wet pellet (g)]]-Table16[[#This Row],[Dried pellet (g)]])/Table16[[#This Row],[Dried pellet (g)]]</f>
        <v>4.6292629262926397</v>
      </c>
      <c r="AL18" s="7">
        <f>((Table16[[#This Row],[Total DM (g)]])/(Table16[[#This Row],[Powder (g) weighed]]*Table16[[#This Row],[DM%]]/100))*100</f>
        <v>97.924140473206648</v>
      </c>
      <c r="AM18" s="37"/>
      <c r="AO18" t="str">
        <f>C17</f>
        <v>Pea concentrate P NT DH120 - P NT m20z4F8 DH120</v>
      </c>
      <c r="AP18" s="13">
        <f t="shared" ref="AP18" si="35">AVERAGE(AJ17:AJ19)</f>
        <v>0.53630401499311031</v>
      </c>
      <c r="AQ18" s="14">
        <f t="shared" ref="AQ18" si="36">_xlfn.STDEV.P(AJ17:AJ19)</f>
        <v>3.2232048459042461E-4</v>
      </c>
      <c r="AR18" s="4">
        <f t="shared" ref="AR18" si="37">AVERAGE(AK17:AK19)</f>
        <v>4.4589845229977128</v>
      </c>
      <c r="AS18" s="4">
        <f>_xlfn.STDEV.P(AK17:AK19)</f>
        <v>0.13468484601681388</v>
      </c>
      <c r="AT18"/>
      <c r="AU18" s="15"/>
    </row>
    <row r="19" spans="1:47" x14ac:dyDescent="0.25">
      <c r="B19" s="39">
        <v>3</v>
      </c>
      <c r="C19" s="36" t="s">
        <v>76</v>
      </c>
      <c r="D19" s="8">
        <v>96.73</v>
      </c>
      <c r="E19" s="21"/>
      <c r="F19" s="21">
        <v>10.159800000000001</v>
      </c>
      <c r="G19" s="21">
        <v>1.2406999999999999</v>
      </c>
      <c r="H19" s="21">
        <v>2.9350000000000001</v>
      </c>
      <c r="I19" s="21"/>
      <c r="J19" s="21">
        <v>28.7715</v>
      </c>
      <c r="K19" s="8"/>
      <c r="L19" s="8"/>
      <c r="M19" s="8"/>
      <c r="N19" s="8"/>
      <c r="O19" s="21">
        <v>43.106299999999997</v>
      </c>
      <c r="P19" s="21">
        <v>2.1876000000000002</v>
      </c>
      <c r="Q19" s="21">
        <v>29.2226</v>
      </c>
      <c r="R19" s="21"/>
      <c r="S19" s="21">
        <f>(Table16[[#This Row],[Tray + supernatant (g)]]+Table16[[#This Row],[Extra supernatant by pipet (g)]])-Table16[[#This Row],[Empty tray for supernatant (g)]]</f>
        <v>27.035</v>
      </c>
      <c r="T19" s="21">
        <v>13.132099999999999</v>
      </c>
      <c r="U19" s="21">
        <v>2.9348999999999998</v>
      </c>
      <c r="V19" s="21">
        <v>10.705399999999999</v>
      </c>
      <c r="W19" s="21">
        <v>2.8184</v>
      </c>
      <c r="X19" s="21">
        <v>2.9283000000000001</v>
      </c>
      <c r="Y19" s="21">
        <f>Table16[[#This Row],[Cap before drying (g)]]-Table16[[#This Row],[Cap (g)]]</f>
        <v>-1.0000000000021103E-4</v>
      </c>
      <c r="Z19" s="21">
        <f>Table16[[#This Row],[Cap after drying (g)]]-Table16[[#This Row],[Cap (g)]]</f>
        <v>-6.6999999999999282E-3</v>
      </c>
      <c r="AA19" s="21">
        <f>Table16[[#This Row],[Powder (g) weighed]]+Table16[[#This Row],[Water (g) weighed]]</f>
        <v>30.0122</v>
      </c>
      <c r="AB19" s="21">
        <f>Table16[[#This Row],[Tube + pellet (g)]]-Table16[[#This Row],[Empty tube (g)]]</f>
        <v>2.9722999999999988</v>
      </c>
      <c r="AC19" s="21">
        <f>Table16[[#This Row],[Total supernatant (g)]]</f>
        <v>27.035</v>
      </c>
      <c r="AD19" s="21">
        <f>Table16[[#This Row],[Tube + dried pellet (g)]]-Table16[[#This Row],[Empty tube (g)]]</f>
        <v>0.54559999999999853</v>
      </c>
      <c r="AE19" s="21">
        <f>Table16[[#This Row],[Tray + dried supernatant (g)]]-Table16[[#This Row],[Empty tray for supernatant (g)]]</f>
        <v>0.63079999999999981</v>
      </c>
      <c r="AF19" s="5">
        <f>Table16[[#This Row],[Wet pellet (g)]]/Table16[[#This Row],[Sample (g)]]</f>
        <v>9.9036391867307255E-2</v>
      </c>
      <c r="AG19" s="5">
        <f>Table16[[#This Row],[Dried pellet (g)]]/Table16[[#This Row],[Wet pellet (g)]]</f>
        <v>0.18356155166032997</v>
      </c>
      <c r="AH19" s="5">
        <f>Table16[[#This Row],[Dried supernatant (g)]]/Table16[[#This Row],[Supernatant (g)]]</f>
        <v>2.3332716848529677E-2</v>
      </c>
      <c r="AI19" s="10">
        <f>Table16[[#This Row],[Dried pellet (g)]]+Table16[[#This Row],[Dried supernatant (g)]]</f>
        <v>1.1763999999999983</v>
      </c>
      <c r="AJ19" s="12">
        <f>Table16[[#This Row],[Dried supernatant (g)]]/Table16[[#This Row],[Total DM (g)]]</f>
        <v>0.53621217273036437</v>
      </c>
      <c r="AK19" s="7">
        <f>(Table16[[#This Row],[Wet pellet (g)]]-Table16[[#This Row],[Dried pellet (g)]])/Table16[[#This Row],[Dried pellet (g)]]</f>
        <v>4.4477639296187812</v>
      </c>
      <c r="AL19" s="7">
        <f>((Table16[[#This Row],[Total DM (g)]])/(Table16[[#This Row],[Powder (g) weighed]]*Table16[[#This Row],[DM%]]/100))*100</f>
        <v>98.022786898319495</v>
      </c>
      <c r="AM19" s="37"/>
      <c r="AO19" s="37"/>
      <c r="AT19"/>
      <c r="AU19" s="15"/>
    </row>
    <row r="21" spans="1:47" s="4" customFormat="1" x14ac:dyDescent="0.25">
      <c r="A21" s="39"/>
      <c r="B21" s="39"/>
      <c r="C21" t="s">
        <v>46</v>
      </c>
      <c r="D21" s="22">
        <v>0.58333333333333337</v>
      </c>
      <c r="E21" s="23">
        <v>44867</v>
      </c>
      <c r="F21"/>
      <c r="G21"/>
      <c r="H21"/>
      <c r="N21" s="19"/>
      <c r="O21" s="22"/>
      <c r="P21" s="23"/>
      <c r="AA21" s="3"/>
      <c r="AB21" s="3"/>
      <c r="AC21" s="3"/>
      <c r="AD21" s="3"/>
      <c r="AE21" s="3"/>
      <c r="AF21" s="3"/>
      <c r="AG21" s="3"/>
      <c r="AH21" s="3"/>
      <c r="AI21" s="10"/>
      <c r="AJ21" s="12"/>
      <c r="AK21" s="8"/>
      <c r="AL21" s="8"/>
      <c r="AM21"/>
      <c r="AN21" s="3"/>
      <c r="AO21"/>
      <c r="AP21"/>
      <c r="AQ21"/>
      <c r="AR21"/>
      <c r="AS21"/>
      <c r="AT21" s="3"/>
      <c r="AU21" s="3"/>
    </row>
    <row r="22" spans="1:47" x14ac:dyDescent="0.25">
      <c r="C22" t="s">
        <v>44</v>
      </c>
      <c r="D22" s="22">
        <v>0.66666666666666663</v>
      </c>
      <c r="E22" s="23">
        <v>44869</v>
      </c>
      <c r="O22" s="22"/>
      <c r="P22" s="23"/>
      <c r="X22" s="23"/>
    </row>
    <row r="23" spans="1:47" x14ac:dyDescent="0.25">
      <c r="C23" t="s">
        <v>45</v>
      </c>
      <c r="D23" s="22" t="s">
        <v>85</v>
      </c>
      <c r="E23" s="23"/>
      <c r="O23" s="22"/>
    </row>
    <row r="24" spans="1:47" s="4" customFormat="1" x14ac:dyDescent="0.25">
      <c r="A24" s="39"/>
      <c r="B24" s="39"/>
      <c r="C24"/>
      <c r="D24" s="24"/>
      <c r="E24" s="23"/>
      <c r="F24"/>
      <c r="G24"/>
      <c r="H24"/>
      <c r="N24" s="19"/>
      <c r="AA24" s="3"/>
      <c r="AB24" s="3"/>
      <c r="AC24" s="3"/>
      <c r="AD24" s="3"/>
      <c r="AE24" s="3"/>
      <c r="AF24" s="3"/>
      <c r="AG24" s="3"/>
      <c r="AH24" s="3"/>
      <c r="AI24" s="10"/>
      <c r="AJ24" s="12"/>
      <c r="AK24" s="8"/>
      <c r="AL24" s="8"/>
      <c r="AM24"/>
      <c r="AN24" s="3"/>
      <c r="AO24"/>
      <c r="AP24"/>
      <c r="AQ24"/>
      <c r="AR24"/>
      <c r="AS24"/>
      <c r="AT24" s="3"/>
      <c r="AU24" s="3"/>
    </row>
  </sheetData>
  <pageMargins left="0.7" right="0.7" top="0.75" bottom="0.75" header="0.3" footer="0.3"/>
  <pageSetup paperSize="9" orientation="portrait" r:id="rId1"/>
  <drawing r:id="rId2"/>
  <legacyDrawing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E08D511A28284FBDBF8CC1F6AD69F7" ma:contentTypeVersion="18" ma:contentTypeDescription="Een nieuw document maken." ma:contentTypeScope="" ma:versionID="c7c853852509e37874f736d3b98705bb">
  <xsd:schema xmlns:xsd="http://www.w3.org/2001/XMLSchema" xmlns:xs="http://www.w3.org/2001/XMLSchema" xmlns:p="http://schemas.microsoft.com/office/2006/metadata/properties" xmlns:ns2="3d8b071a-d696-47e1-b153-5ce3d2c9d778" xmlns:ns3="1ff35f93-8e27-4697-8fa1-9b61c890a14d" targetNamespace="http://schemas.microsoft.com/office/2006/metadata/properties" ma:root="true" ma:fieldsID="5551b66c520ede296d6b9a4a72825611" ns2:_="" ns3:_="">
    <xsd:import namespace="3d8b071a-d696-47e1-b153-5ce3d2c9d778"/>
    <xsd:import namespace="1ff35f93-8e27-4697-8fa1-9b61c890a14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8b071a-d696-47e1-b153-5ce3d2c9d7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Afbeeldingtags" ma:readOnly="false" ma:fieldId="{5cf76f15-5ced-4ddc-b409-7134ff3c332f}" ma:taxonomyMulti="true" ma:sspId="5ec99919-4982-4388-8a64-83a11d2ca21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ff35f93-8e27-4697-8fa1-9b61c890a14d"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element name="TaxCatchAll" ma:index="23" nillable="true" ma:displayName="Taxonomy Catch All Column" ma:hidden="true" ma:list="{53483c93-25d2-4580-b548-925ba9e158ca}" ma:internalName="TaxCatchAll" ma:showField="CatchAllData" ma:web="1ff35f93-8e27-4697-8fa1-9b61c890a14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d8b071a-d696-47e1-b153-5ce3d2c9d778">
      <Terms xmlns="http://schemas.microsoft.com/office/infopath/2007/PartnerControls"/>
    </lcf76f155ced4ddcb4097134ff3c332f>
    <TaxCatchAll xmlns="1ff35f93-8e27-4697-8fa1-9b61c890a14d" xsi:nil="true"/>
  </documentManagement>
</p:properties>
</file>

<file path=customXml/itemProps1.xml><?xml version="1.0" encoding="utf-8"?>
<ds:datastoreItem xmlns:ds="http://schemas.openxmlformats.org/officeDocument/2006/customXml" ds:itemID="{07D80FBB-F79F-49FA-84F0-67AFC3D59E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8b071a-d696-47e1-b153-5ce3d2c9d778"/>
    <ds:schemaRef ds:uri="1ff35f93-8e27-4697-8fa1-9b61c890a1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A87E5FE-7AE5-4B92-9716-43EE2E06F7F4}">
  <ds:schemaRefs>
    <ds:schemaRef ds:uri="http://schemas.microsoft.com/sharepoint/v3/contenttype/forms"/>
  </ds:schemaRefs>
</ds:datastoreItem>
</file>

<file path=customXml/itemProps3.xml><?xml version="1.0" encoding="utf-8"?>
<ds:datastoreItem xmlns:ds="http://schemas.openxmlformats.org/officeDocument/2006/customXml" ds:itemID="{9EBD1C0E-CF42-478A-A77C-DC74B8956A75}">
  <ds:schemaRefs>
    <ds:schemaRef ds:uri="http://schemas.microsoft.com/office/2006/metadata/properties"/>
    <ds:schemaRef ds:uri="http://schemas.microsoft.com/office/infopath/2007/PartnerControls"/>
    <ds:schemaRef ds:uri="3d8b071a-d696-47e1-b153-5ce3d2c9d778"/>
    <ds:schemaRef ds:uri="1ff35f93-8e27-4697-8fa1-9b61c890a14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info</vt:lpstr>
      <vt:lpstr>data</vt:lpstr>
    </vt:vector>
  </TitlesOfParts>
  <Company>Wageningen University and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Humblet-Hua, Nam-Phuong</dc:creator>
  <cp:lastModifiedBy>Nieuwland, Maaike</cp:lastModifiedBy>
  <dcterms:created xsi:type="dcterms:W3CDTF">2019-03-27T15:08:46Z</dcterms:created>
  <dcterms:modified xsi:type="dcterms:W3CDTF">2025-02-25T11:48:42Z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0x010100DEE08D511A28284FBDBF8CC1F6AD69F7</vt:lpwstr>
  </property>
  <property fmtid="{D5CDD505-2E9C-101B-9397-08002B2CF9AE}" pid="3" name="MediaServiceImageTags">
    <vt:lpwstr/>
  </property>
</Properties>
</file>